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75" windowWidth="15570" windowHeight="8625" tabRatio="717" activeTab="2"/>
  </bookViews>
  <sheets>
    <sheet name="Приложение 4" sheetId="1" r:id="rId1"/>
    <sheet name="Приложение 4 " sheetId="2" state="hidden" r:id="rId2"/>
    <sheet name="Приложение 5" sheetId="3" r:id="rId3"/>
    <sheet name="Лист1" sheetId="4" r:id="rId4"/>
  </sheets>
  <externalReferences>
    <externalReference r:id="rId7"/>
    <externalReference r:id="rId8"/>
  </externalReferences>
  <definedNames>
    <definedName name="_xlnm.Print_Titles" localSheetId="0">'Приложение 4'!$6:$6</definedName>
    <definedName name="_xlnm.Print_Titles" localSheetId="1">'Приложение 4 '!$4:$6</definedName>
    <definedName name="_xlnm.Print_Titles" localSheetId="2">'Приложение 5'!$6:$6</definedName>
    <definedName name="_xlnm.Print_Area" localSheetId="0">'Приложение 4'!$A$1:$N$102</definedName>
    <definedName name="_xlnm.Print_Area" localSheetId="1">'Приложение 4 '!$A$1:$N$86</definedName>
    <definedName name="_xlnm.Print_Area" localSheetId="2">'Приложение 5'!$A$1:$M$191</definedName>
  </definedNames>
  <calcPr fullCalcOnLoad="1"/>
</workbook>
</file>

<file path=xl/sharedStrings.xml><?xml version="1.0" encoding="utf-8"?>
<sst xmlns="http://schemas.openxmlformats.org/spreadsheetml/2006/main" count="926" uniqueCount="254">
  <si>
    <t>Финансовое обеспечение реализации государственной программы за счет средств бюджета Республики Карелия (тыс. руб.)</t>
  </si>
  <si>
    <t>Статус</t>
  </si>
  <si>
    <t>Наименование государственной программы, подпрограммы государственной программы, целевой программы (подпрограммы целевой программы), ведомственной целевой программы, основного мероприятия (мероприятия)</t>
  </si>
  <si>
    <t>Ответственный исполнитель, соисполнитель</t>
  </si>
  <si>
    <t>Код бюджетной классификации</t>
  </si>
  <si>
    <t>Расходы (тыс. рублей), годы</t>
  </si>
  <si>
    <t>ГРБС</t>
  </si>
  <si>
    <t>Рз Пр</t>
  </si>
  <si>
    <t>ЦСР</t>
  </si>
  <si>
    <t>ВР</t>
  </si>
  <si>
    <t>Государственная программа</t>
  </si>
  <si>
    <t>Развитие образования в Республике Карелия на 2014-2020 годы</t>
  </si>
  <si>
    <t>всего, в том числе:</t>
  </si>
  <si>
    <t>X</t>
  </si>
  <si>
    <t>Министерство образования Республики Карелия</t>
  </si>
  <si>
    <t>программные мероприятия</t>
  </si>
  <si>
    <t xml:space="preserve">осуществление полномочий Республики Карелия органами исполнительной власти Республики Карелия в рамках непрограммного направления деятельности
</t>
  </si>
  <si>
    <t>осуществление полномочий Российской Федерации органами исполнительной власти Республики Карелия в рамках непрограммного направления деятельности</t>
  </si>
  <si>
    <t>Министерство здравоохранения и социального развития Республики Карелия</t>
  </si>
  <si>
    <t>Министерство культуры Республики Карелия</t>
  </si>
  <si>
    <t>Министерство по делам молодежи, физической культуре и спорту Республики Карелия</t>
  </si>
  <si>
    <t>Министерство строительства, жилищно-коммунального хозяйства и энергетики Республики Карелия</t>
  </si>
  <si>
    <t>Подпрограмма 1</t>
  </si>
  <si>
    <t>"Развитие профессионального образования"</t>
  </si>
  <si>
    <t>всего,</t>
  </si>
  <si>
    <t>в том числе:</t>
  </si>
  <si>
    <t>07 04</t>
  </si>
  <si>
    <t>02 1 2313</t>
  </si>
  <si>
    <t>02 1 2331</t>
  </si>
  <si>
    <t>610, 620, 240</t>
  </si>
  <si>
    <t>02 1 3893</t>
  </si>
  <si>
    <t>07 09</t>
  </si>
  <si>
    <t>02 1 7522</t>
  </si>
  <si>
    <t>01 0 2313</t>
  </si>
  <si>
    <t>07 0 2313</t>
  </si>
  <si>
    <t>02 1 7578</t>
  </si>
  <si>
    <t>Подпрограмма 2</t>
  </si>
  <si>
    <t>«Развитие дошкольного, общего и дополнительного образования детей»</t>
  </si>
  <si>
    <t>07 01</t>
  </si>
  <si>
    <t>02 2 6544</t>
  </si>
  <si>
    <t>02 2 4206</t>
  </si>
  <si>
    <t>02 2 4302</t>
  </si>
  <si>
    <t>10 04</t>
  </si>
  <si>
    <t>02 2 4203</t>
  </si>
  <si>
    <t xml:space="preserve">07 09 </t>
  </si>
  <si>
    <t>02 0 2331</t>
  </si>
  <si>
    <t>07 02</t>
  </si>
  <si>
    <t>02 0 5801</t>
  </si>
  <si>
    <t>02 2 2308</t>
  </si>
  <si>
    <t>110, 240, 610, 630, 850</t>
  </si>
  <si>
    <t>02 2 2309</t>
  </si>
  <si>
    <t>02 2 4205</t>
  </si>
  <si>
    <t>01 04</t>
  </si>
  <si>
    <t>02 2 4202</t>
  </si>
  <si>
    <t>02 2 4210</t>
  </si>
  <si>
    <t>02 0 7564</t>
  </si>
  <si>
    <t>610, 620</t>
  </si>
  <si>
    <t>02 0 5026</t>
  </si>
  <si>
    <t>610, 240</t>
  </si>
  <si>
    <t>02 2 2313</t>
  </si>
  <si>
    <t>02 2 2331</t>
  </si>
  <si>
    <t>110, 240, 850</t>
  </si>
  <si>
    <t>02 2 5026</t>
  </si>
  <si>
    <t>02 2 7580</t>
  </si>
  <si>
    <t>02 2 2314</t>
  </si>
  <si>
    <t>07 05</t>
  </si>
  <si>
    <t>02 2 2315</t>
  </si>
  <si>
    <t>02 2 5059</t>
  </si>
  <si>
    <t>240, 410, 520</t>
  </si>
  <si>
    <t>02 0 7601</t>
  </si>
  <si>
    <t>02 2 2097</t>
  </si>
  <si>
    <t>02 0 5097</t>
  </si>
  <si>
    <t>02 0 7565</t>
  </si>
  <si>
    <t>02 2 7578</t>
  </si>
  <si>
    <t>02 2 9040</t>
  </si>
  <si>
    <t>02 2 4204</t>
  </si>
  <si>
    <t>02 2 4312</t>
  </si>
  <si>
    <t>02 2 4401</t>
  </si>
  <si>
    <t>02 0 7563 02 2 7578</t>
  </si>
  <si>
    <t>02 0 5088 02 2 7576</t>
  </si>
  <si>
    <t>02 2 5088</t>
  </si>
  <si>
    <t>Подпрограмма 3</t>
  </si>
  <si>
    <t>"Развитие системы оценки качества образования"</t>
  </si>
  <si>
    <t>всего</t>
  </si>
  <si>
    <t>02 3 2331</t>
  </si>
  <si>
    <t>02 3 7509</t>
  </si>
  <si>
    <t>Реализация образовательных программ среднего профессионального образования: реализация профессиональными образовательными организациями государственного задания на оказание услуг по реализации основных профессиональных образовательных программ среднего профессионального образования; установление контрольных цифр приема на конкурсной основе в соответствии с потребностями рынка труда;повышение квалификации и (или)  профессиональная переподготовка руководителей и педагогических работников; доведение средней заработной платы преподавателей и мастеров производственного обучения профессиональных образовательных организаций Республики Карелия до средней заработной платы в Республике Карелия; выявление и развитие творческих и интеллектуальных способностей талантливых студентов, в том числе через развитие системы республиканских конкурсов профессионального мастерства и олимпиад, выплата именных стипендий Республики Карелия обучающимся по основным профессиональным образовательным программам; создание условий для получения среднего профессионального образования лицами с ограниченными возможностями здоровья; организация профессиональными образовательными организациями воспитательной работы со студентами, проведение мероприятий, направленных на воспитание патриотизма, формирование толерантного сознания, мероприятий социальной направленности.</t>
  </si>
  <si>
    <t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технологий: внедрение  профессиональными образовательными организациями новых образовательных технологий, форм организации образовательного процесса; оптимизация сети профессиональных образовательных организаций Республики Карелия; создание многофункциональных центров прикладных квалификаций и реализация на их базе образовательных  программ; повышение качества управления в системе среднего профессионального образования; разработка и внедрение сетевых форм реализации образовательных программ.</t>
  </si>
  <si>
    <t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образования: реализация программ дополнительного профессионального образования; реализации программ профессионального обучения; расширение практики применения электронного обучения и дистанционных образовательных технологий  (в т.ч. через ресурсный  центр дистанционной поддержки образования); совершенствование взаимодействия работодателей и профессиональных образовательных организаций; развитие государственно-частного партнерства; проведение мероприятий по популяризации профессионального образования; информирование населения о системе профессионального образования и оказываемых услугах через средства массовой информации и информационно-телекоммуникационную сеть «Интернет».</t>
  </si>
  <si>
    <t>Модернизация инфраструктуры системы профессионального образования: приобретение учебного, учебно-производственного и учебно-лабораторного оборудования; проведение мероприятий по энергосбережению и повышению энергетической эффективности; строительство (реконструкция), капитальный ремонт зданий образовательных организаций и обновление общежитий, спортивных объектов, в том числе с использованием механизмов государственно-частного партнерства.</t>
  </si>
  <si>
    <t xml:space="preserve"> Реализация образовательной услуги дошкольного образования и услуги присмотра и ухода: приведение и реализация дошкольными образовательными организациями образовательных  программ дошкольного образования  в соответствии с федеральным государственным образовательным стандартом дошкольного образования с учетом примерной образовательной программы дошкольного образования; компенсация части родительской платы за присмотр и уход за детьми в государственных и муниципальных образовательных организациях; создание дополнительных мест в государственных (муниципальных) образовательных организациях различных типов, в том числе через вариативные формы реализации дошкольного образования; развитие и реализация моделей поддержки раннего развития детей (в возрасте от 0 до 3 лет); создание консультационных центров для получения родителями (законными представителями) методической, психолого-педагогической, диагностической и консультативной помощи; создание условий для развития негосударственного сектора дошкольного образования; финансовое обеспечение реализации образовательной программы дошкольного образования в негосударственном секторе дошкольного образования.</t>
  </si>
  <si>
    <t>Разработка и реализация программы поддержки общеобразовательных организаций, работающих в сложных социальных условиях: мониторинг и сравнительный анализ результатов единого государственного экзамена общеобразовательных организаций, работающих в сложных социальных условиях, с иными общеобразовательными организациями; апробация механизма поддержки общеобразовательных организаций, работающих в сложных социальных условиях; поддержка адресных программ повышения качества деятельности общеобразовательных организаций, работающих в сложных социальных условиях, демонстрирующих низкие образовательные результаты;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условиях.</t>
  </si>
  <si>
    <t>Выявление и поддержка одаренных детей и молодежи: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469р-П; финансовое обеспечение, методическое и информационное сопровождение традиционных мероприятий, связанных с поддержкой талантливых детей.</t>
  </si>
  <si>
    <t>Развитие инфраструктуры образовательных организаций: возврат ранее переданных зданий дошкольных образовательных организаций; строительство (реконструкция) и капитальный ремонт зданий образовательных организаций; реализация  планов действий по оптимизации сети образовательных организаций; проведение мероприятий по энергосбережению и повышению энергетической эффективности; формирование инфраструктуры услуги сопровождения раннего развития детей (в возрасте от 0 до 3 лет); улучшение материально-технической базы  образовательных организаций; улучшение материально-технической базы  образовательных организаций.</t>
  </si>
  <si>
    <t>Развитие кадрового потенциала системы дошкольного, общего и дополнительного образования детей: доведение средней заработной платы педагогических работников дошкольных образовательных организаций до средней заработной платы в общем образовании в Республике Карелия; доведение средней заработной платы педагогических работников общеобразовательных организаций до средней заработной платы в Республике Карелия; доведение средней заработной платы педагогических работников организаций дополнительного образования детей к средней заработной плате учителей в Республике Карелия; обеспечение качества подготовки специалистов общего образования и дополнительного образования детей через повышение квалификации и профессиональную  переподготовку; внедрение  персонифицированной модели повышения квалификации и профессиональной переподготовки педагогических работников; аттестация педагогических работников; внедрение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 (воспитатель, учитель)»; внедрение методики оценки деятельности педагогических работников и руководителей образовательных организаций на основе показателей эффективности; организация конкурсных мероприятий по выявлению и поддержке лучших педагогических работников; поддержка молодых специалистов, отработавших учебный год в образовательных организациях, расположенных в сельской местности; реализация мер, направленных на усиление роли профессиональных объединений; формирование системы поддержки непрерывного профессионального развития педагогических работников и руководителей образовательных организаций; организация стажировок педагогических работников и руководителей образовательных организаций в ведущих образовательных организациях и создание условий для выявления и обмена лучшими практиками.</t>
  </si>
  <si>
    <t>Источники финансового обеспечения</t>
  </si>
  <si>
    <t>...</t>
  </si>
  <si>
    <t xml:space="preserve">бюджет Республики Карелия </t>
  </si>
  <si>
    <t>Таблица 7</t>
  </si>
  <si>
    <t>Наименование государственной программы Республики Карелия, подпрограммы государственной программы Республики Карелия, ведомственной, региональной, долгосрочной целевой программы, основных мероприятий и мероприятий</t>
  </si>
  <si>
    <t>Оценка расходов (тыс. руб.), годы</t>
  </si>
  <si>
    <t>бюджеты муниципальных образований</t>
  </si>
  <si>
    <t xml:space="preserve">государственные внебюджетные фонды Российской Федерации </t>
  </si>
  <si>
    <t xml:space="preserve">территориальные государственные внебюджетные фонды </t>
  </si>
  <si>
    <t>иные внебюджетные источники</t>
  </si>
  <si>
    <t xml:space="preserve">всего </t>
  </si>
  <si>
    <t xml:space="preserve">бюджеты муниципальных образований </t>
  </si>
  <si>
    <t>территориальные государственные внебюджетные фонды</t>
  </si>
  <si>
    <t xml:space="preserve">юридические лица </t>
  </si>
  <si>
    <t>Реализация образовательных программ начального общего, основного общего, среднего общего образования: внедрение федеральных государственных образовательных стандартов начального общего, основного общего и среднего (полного) общего образования; совершенствование содержания и технологий образования начального общего, основного общего, среднего общего образования; создание механизмов обеспечения равенства доступа к качественному образованию независимо от места жительства и социально-экономического статуса; создание условий для психолого-медико-педагогического сопровождения образования детей с ограниченными возможностями здоровья в общем образовании; развитие системы образовательных организаций, реализующих  федеральный государственный образовательный стандарт образования обучающихся с ограниченными возможностями здоровья; обновление учебно-методического обеспечения изучения родных языков и этнокультурных образовательных программ; внедрение инновационных методик интенсивного обучения родным  языкам; создание эффективной системы профориентации в рамках отдельных образовательных организаций и в рамках сетевого объединения образовательных организаций; осуществление государственных полномочий Республики Карелия по созданию и организации деятельности комиссий по делам несовершеннолетних и защите их прав через координирование деятельности органов местного самоуправления; мониторинг уровня подготовки и социализации школьников образовательными организациями; реализация мероприятий Комплекса мер по модернизации общего образования Республики Карелия  на 2013 год и на период до 2020 года, утвержденного постановлением Правительства Республики Карелия от 22 марта 2013 года № 104-П; реализация Концепции развития математического образования в Российской Федерации;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</t>
  </si>
  <si>
    <t>Развитие дополнительного персонального образования, формирование современных управленческих и организационно-экономических механизмов в системе дополнительного образования детей: создание  региональных ресурсных центров для методического обеспечения, организации дополнительного профессионального образования педагогов дополнительного образования и координации деятельности образовательных организаций, реализующих дополнительные общеобразовательные программы различной направленности; формирование и финансовое обеспечение государственных заданий на реализацию дополнительных общеобразовательных программ; содействие в реализации муниципальных планов (программ) развития системы дополнительного образования детей; обновление содержания и технологий дополнительного образования и воспитания детей; внедрение организациями дополнительного образования  вариативных форм получения услуг дополнительного образования (в сетевой форме, с использованием дистанционных образовательных технологий и других); формирование банка лучших дополнительных общеобразовательных программ, в том числе для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ситуации; методическое и информационное сопровождение традиционных мероприятий, связанных с поддержкой талантливых детей.</t>
  </si>
  <si>
    <t>Формирование и развитие системы оценки качества образования, в том числе поддержка и развитие инструментов оценки результатов обучения: обеспечение и проведение государственной аттестации обучающихся; создание условий для реализации инновационных проектов и программ, имеющих существенное значение для обеспечения развития системы образования; признание организаций региональными инновационными площадками; проведение самообследования, обеспечение функционирования внутренней системы оценки качества образования образовательными организациями; проведение независимой оценки качества образования; включение Республики Карелия в  федеральную единую унифицированную систему статистики образования; пополнение и обновление региональных банков данных контрольно-измерительных материалов по всем оценочным процедурам; участие Республики Карелия в разработке и экспертизе контрольно-измерительных материалов для проведения процедур внешней оценки; реализация мероприятий по оценке и контролю качества образования; использование результатов мониторинговых исследований для повышения качества образования и обеспечения эффективного управления образовательными системами; распространение форм оценки образовательных достижений обучающихся; разработка и реализация программ по повышению квалификации общественных управляющих (общественных и общественно-профессиональных экспертов); поддержка социально ориентированных  некоммерческих организаций (за исключением государственных и муниципальных учреждений), осуществляющих деятельность в сфере образования; развитие механизмов вовлеченности родителей в образование, общественного участия в управлении образованием; обеспечение информационной открытости деятельности образовательных организаций Республики Карелия на всех уровнях системы образования.</t>
  </si>
  <si>
    <t>Приложение 5 к государственной программе</t>
  </si>
  <si>
    <t>Приложение 4 к государственной программе</t>
  </si>
  <si>
    <t>Основное мероприятие 1.1.1.1.0.</t>
  </si>
  <si>
    <t>Основное мероприятие 1.1.1.2.0.</t>
  </si>
  <si>
    <t>Основное мероприятие 1.1.2.1.0.</t>
  </si>
  <si>
    <t>Основное мероприятие 2.1.1.1.0.</t>
  </si>
  <si>
    <t>Основное мероприятие 2.1.1.2.0.</t>
  </si>
  <si>
    <t>Основное мероприятие 2.1.1.3.0.</t>
  </si>
  <si>
    <t>Основное мероприятие 2.1.1.4.0.</t>
  </si>
  <si>
    <t>Основное мероприятие 2.1.1.5.0.</t>
  </si>
  <si>
    <t xml:space="preserve">Основное мероприятие </t>
  </si>
  <si>
    <t>Основное мероприятие 2.1.2.1.0.</t>
  </si>
  <si>
    <t>Основное мероприятие 3.1.1.1.0.</t>
  </si>
  <si>
    <t xml:space="preserve">Основное мероприятие 1.1.2.2.0. </t>
  </si>
  <si>
    <t>02 2 5097</t>
  </si>
  <si>
    <t>«Развитие дошкольного, общего и дополнительного образования детей. 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</si>
  <si>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средства бюджета Республики Карелия, за исключением целевых федеральных средств</t>
  </si>
  <si>
    <t xml:space="preserve">средства, поступающие в бюджет Республики Карелия  из федерального бюджета </t>
  </si>
  <si>
    <t xml:space="preserve">средства бюджета Республики Карелия, за исключением целевых федеральных средств </t>
  </si>
  <si>
    <t>средства, поступающие в бюджет Республики Карелия  из федерального бюджета</t>
  </si>
  <si>
    <t>безвозмездные поступления в бюджет Республики Карелия  от государственной корпорации – Фонда содействия реформированию ЖКХ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</si>
  <si>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и расходов на реализацию целей государственной программы Республики Карелия </t>
  </si>
  <si>
    <t>безвозмездные поступления в бюджет Республики Карелия от государственной корпорации – Фонда содействия реформированию ЖКХ</t>
  </si>
  <si>
    <t xml:space="preserve">Финансовое обеспечение реализации государственной программы за счет средств бюджета Республики Карелия </t>
  </si>
  <si>
    <t>«Развитие профессионального образования»</t>
  </si>
  <si>
    <t xml:space="preserve">Государст-венная программа Республики Карелия </t>
  </si>
  <si>
    <t>".</t>
  </si>
  <si>
    <t>02 1 01 70300</t>
  </si>
  <si>
    <t>субсидии бюджетным учреждениям</t>
  </si>
  <si>
    <t>субсидии автономным учреждениям</t>
  </si>
  <si>
    <t xml:space="preserve">проведение конкурса профмастерства и выплаты в  орг, выплаты премий по конкурсам СПО </t>
  </si>
  <si>
    <t>стипендии Главы студентам, аспирантам, научн деяителям дневного обучения проф образов (выплаты через МО РК по приказу, поэтому 0709)</t>
  </si>
  <si>
    <t>02 1 01 70310</t>
  </si>
  <si>
    <t>обеспечение гос гарантий на получ дошко образ</t>
  </si>
  <si>
    <t>частные детские сады</t>
  </si>
  <si>
    <t>КЧРП</t>
  </si>
  <si>
    <t>компенсация малообеспеченным гражданам</t>
  </si>
  <si>
    <t>02 2 01 42060</t>
  </si>
  <si>
    <t>02 2 01 70320</t>
  </si>
  <si>
    <t xml:space="preserve">10 04 </t>
  </si>
  <si>
    <t>02 2 01 43020</t>
  </si>
  <si>
    <t>02 2 01 42030</t>
  </si>
  <si>
    <t>общее образование</t>
  </si>
  <si>
    <t>02 2 02 42050</t>
  </si>
  <si>
    <t>02 2 02 70330</t>
  </si>
  <si>
    <t>110,240,610,630,850</t>
  </si>
  <si>
    <t>субсидии бюджетны учреждениям , осуществляющим основные и дополнительные общеобразовательные программы</t>
  </si>
  <si>
    <t>кдн</t>
  </si>
  <si>
    <t>02 2 02 42020</t>
  </si>
  <si>
    <t>субвенции ОМСУ на меры соц поддержки обучающихся с ОВЗ в МОУ</t>
  </si>
  <si>
    <t>02 2 02 42100</t>
  </si>
  <si>
    <t>ЦБ ХЭГ</t>
  </si>
  <si>
    <t>02 2 02 70340</t>
  </si>
  <si>
    <t>ЦДК</t>
  </si>
  <si>
    <t>дополнительное образование</t>
  </si>
  <si>
    <t>02 2 04 70370</t>
  </si>
  <si>
    <t>02 2 05R0590</t>
  </si>
  <si>
    <t>субсидия ОМСУ выплаты педагогам фин, кар, вепс. языов</t>
  </si>
  <si>
    <t>02 2 03 44010</t>
  </si>
  <si>
    <t xml:space="preserve">07 02 </t>
  </si>
  <si>
    <t>02 2 03 42040</t>
  </si>
  <si>
    <t>02 0 03 R0880</t>
  </si>
  <si>
    <t>КИРО</t>
  </si>
  <si>
    <t xml:space="preserve">07 05 </t>
  </si>
  <si>
    <t>02 2 03 70350</t>
  </si>
  <si>
    <t>учитиель года</t>
  </si>
  <si>
    <t>выпдлаты молодым педагогам на селе</t>
  </si>
  <si>
    <t>НКО</t>
  </si>
  <si>
    <t>02 3 01 70390</t>
  </si>
  <si>
    <t>02 3 01 70380</t>
  </si>
  <si>
    <t>Х</t>
  </si>
  <si>
    <t>02 С 00 10900</t>
  </si>
  <si>
    <t>120,0240,850</t>
  </si>
  <si>
    <t>Аппарат Министерства</t>
  </si>
  <si>
    <t>02 С 00 59900</t>
  </si>
  <si>
    <t>120, 240</t>
  </si>
  <si>
    <t>Надзор ФБ</t>
  </si>
  <si>
    <t>02 С 00 75080</t>
  </si>
  <si>
    <t>110,240,850</t>
  </si>
  <si>
    <t>ЦБ,ХЭГ</t>
  </si>
  <si>
    <t>Обеспечение реализации государственной программы</t>
  </si>
  <si>
    <t xml:space="preserve">субсидии ОМСУ на сохранение уровня средней зараб платы пед работникам мун УДОД
</t>
  </si>
  <si>
    <t xml:space="preserve">  компенсации расходов на оплату жилых помещений, отопления и освещения педагогическим работникам на селе</t>
  </si>
  <si>
    <t>учебники (2000)+иннов площ(350)+30(инт УФСИН), книга года (25)</t>
  </si>
  <si>
    <t>Глава Республики Карелия</t>
  </si>
  <si>
    <t>А.П. Худилайнен</t>
  </si>
  <si>
    <t>2. Действие настоящего постановления распространяется на правоотношения, возникшие с 1 января 2016 года.</t>
  </si>
  <si>
    <t>Министерство здравоохранения Республики Карелия</t>
  </si>
  <si>
    <t>Министерство строительства, жилищно-коммунального хозяйства и энергетики  Республики Карелия</t>
  </si>
  <si>
    <t>Наименование</t>
  </si>
  <si>
    <t>Основное мероприятие «Обеспечение реализации государственной программы»</t>
  </si>
  <si>
    <t>Объемы финансового обеспечения на 2016 год в соответствии с постановлением правительства РК от 27 января 2016 г. № 9-П , тыс.руб.</t>
  </si>
  <si>
    <t>Объемы финансового обеспечения на 2016 год в соответствии с пректом постановления, тыс.руб.</t>
  </si>
  <si>
    <t>изменение объема финансового обеспечения, %</t>
  </si>
  <si>
    <t>Государственная программа, в том числе:</t>
  </si>
  <si>
    <t>ит</t>
  </si>
  <si>
    <t>всего:</t>
  </si>
  <si>
    <t xml:space="preserve"> Приложение 4 к государственной программе</t>
  </si>
  <si>
    <t>«Развитие системы оценки качества образования»</t>
  </si>
  <si>
    <t>ФБ</t>
  </si>
  <si>
    <t>рк</t>
  </si>
  <si>
    <t>фб</t>
  </si>
  <si>
    <t>информационные и обеспечивающие услуги учреждений</t>
  </si>
  <si>
    <t>ФБ социализация</t>
  </si>
  <si>
    <t>БРК социализ</t>
  </si>
  <si>
    <t>ФБ лучшие учителя</t>
  </si>
  <si>
    <t>РК</t>
  </si>
  <si>
    <t>,</t>
  </si>
  <si>
    <t>безвозмездные поступления в бюджет Республики Карелия от государственной корпорации – Фонда содействия реформированию жилищно-коммунального хозяйства (далее –  Фонд содействия реформированию ЖКХ)</t>
  </si>
  <si>
    <t>«Развитие образования в Республике Карелия» на 2014 –  2020 годы</t>
  </si>
  <si>
    <t>всего, в том числе</t>
  </si>
  <si>
    <t>Основное мероприятие 1.1.1.1.0</t>
  </si>
  <si>
    <t xml:space="preserve">реализация образовательных программ среднего профессионального образования </t>
  </si>
  <si>
    <t>Основное мероприятие 1.1.1.2.0</t>
  </si>
  <si>
    <t>Основное мероприятие 1.1.2.1.0</t>
  </si>
  <si>
    <t>Основное мероприятие 1.1.2.2.0</t>
  </si>
  <si>
    <t>Основное мероприятие 2.1.1.1.0</t>
  </si>
  <si>
    <t>Основное мероприятие 2.1.1.3.0</t>
  </si>
  <si>
    <t>Основное мероприятие 2.1.1.2.0</t>
  </si>
  <si>
    <t>Основное мероприятие 2.1.1.4.0</t>
  </si>
  <si>
    <t>Основное мероприятие 2.1.2.1.0</t>
  </si>
  <si>
    <t>Основное мероприятие 3.1.1.1.0</t>
  </si>
  <si>
    <t>Основное мероприятие 2.1.2.2.0</t>
  </si>
  <si>
    <t xml:space="preserve"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 </t>
  </si>
  <si>
    <t xml:space="preserve"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 </t>
  </si>
  <si>
    <t xml:space="preserve">модернизация инфраструктуры системы профессионального образования  </t>
  </si>
  <si>
    <t xml:space="preserve">реализация образовательной программы дошкольного образования </t>
  </si>
  <si>
    <t xml:space="preserve">развитие кадрового потенциала системы дошкольного, общего и дополнительного образования детей  </t>
  </si>
  <si>
    <t xml:space="preserve">развитие дополнительного образования детей, выявление и поддержка одаренных и талантливых детей и молодежи  </t>
  </si>
  <si>
    <t>развитие инфраструктуры образовательных организаций</t>
  </si>
  <si>
    <t>Мероприятие 2.1.2.1.1</t>
  </si>
  <si>
    <t>Мероприятие 2.1.2.1.2</t>
  </si>
  <si>
    <t>введение новых мест в общеобразовательных организациях, в том числе путем строительства объектов инфраструктуры общего образования</t>
  </si>
  <si>
    <t>капитальный ремонт зданий образовательных организаций, возврат в систему образования ранее переданных зданий дошкольных образовательных организаций</t>
  </si>
  <si>
    <t>Мероприятие 2.1.2.1.3</t>
  </si>
  <si>
    <t>улучшение материально-технической базы образовательных организаций</t>
  </si>
  <si>
    <t>разработка и реализация программ поддержки общеобразовательных организаций с низкими результатами обучения и общеобразовательных организаций, работающих в неблагоприятных социальных условиях</t>
  </si>
  <si>
    <t xml:space="preserve">формирование и развитие системы оценки качества образования, в том числе поддержка и развитие инструментов оценки результатов обучения  </t>
  </si>
  <si>
    <t xml:space="preserve">реализация образовательных программ начального общего, основного общего, среднего общего образования  </t>
  </si>
  <si>
    <t xml:space="preserve">Подпрограмма 1 </t>
  </si>
  <si>
    <t>«Развитие образования в Республике Карелия на 2014 – 2020 годы»</t>
  </si>
  <si>
    <t>».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</si>
</sst>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;[Red]0.00"/>
    <numFmt numFmtId="180" formatCode="#,##0.00;[Red]#,##0.00"/>
    <numFmt numFmtId="181" formatCode="000\.00\.000\.0"/>
    <numFmt numFmtId="182" formatCode="#,##0.00;[Red]\-#,##0.00;0.00"/>
    <numFmt numFmtId="183" formatCode="000"/>
    <numFmt numFmtId="184" formatCode="0000000"/>
    <numFmt numFmtId="185" formatCode="00\.00\.00"/>
    <numFmt numFmtId="186" formatCode="0\.00"/>
    <numFmt numFmtId="187" formatCode="0\.00\.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 Cyr"/>
      <family val="0"/>
    </font>
    <font>
      <sz val="10"/>
      <color rgb="FF00B05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 vertical="top"/>
    </xf>
    <xf numFmtId="0" fontId="8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10" fillId="33" borderId="0" xfId="54" applyFont="1" applyFill="1">
      <alignment/>
      <protection/>
    </xf>
    <xf numFmtId="0" fontId="3" fillId="33" borderId="0" xfId="54" applyFont="1" applyFill="1" applyAlignment="1">
      <alignment horizontal="left"/>
      <protection/>
    </xf>
    <xf numFmtId="0" fontId="3" fillId="33" borderId="10" xfId="54" applyFont="1" applyFill="1" applyBorder="1" applyAlignment="1">
      <alignment horizontal="center" vertical="top" wrapText="1"/>
      <protection/>
    </xf>
    <xf numFmtId="4" fontId="3" fillId="33" borderId="10" xfId="54" applyNumberFormat="1" applyFont="1" applyFill="1" applyBorder="1" applyAlignment="1">
      <alignment horizontal="center" vertical="top" wrapText="1"/>
      <protection/>
    </xf>
    <xf numFmtId="173" fontId="8" fillId="33" borderId="10" xfId="54" applyNumberFormat="1" applyFont="1" applyFill="1" applyBorder="1" applyAlignment="1">
      <alignment vertical="top" wrapText="1"/>
      <protection/>
    </xf>
    <xf numFmtId="0" fontId="11" fillId="33" borderId="0" xfId="54" applyFont="1" applyFill="1">
      <alignment/>
      <protection/>
    </xf>
    <xf numFmtId="4" fontId="11" fillId="33" borderId="0" xfId="54" applyNumberFormat="1" applyFont="1" applyFill="1">
      <alignment/>
      <protection/>
    </xf>
    <xf numFmtId="4" fontId="16" fillId="33" borderId="0" xfId="54" applyNumberFormat="1" applyFont="1" applyFill="1">
      <alignment/>
      <protection/>
    </xf>
    <xf numFmtId="0" fontId="3" fillId="33" borderId="10" xfId="54" applyFont="1" applyFill="1" applyBorder="1" applyAlignment="1">
      <alignment vertical="top" wrapText="1"/>
      <protection/>
    </xf>
    <xf numFmtId="173" fontId="3" fillId="33" borderId="10" xfId="54" applyNumberFormat="1" applyFont="1" applyFill="1" applyBorder="1" applyAlignment="1">
      <alignment vertical="top" wrapText="1"/>
      <protection/>
    </xf>
    <xf numFmtId="4" fontId="3" fillId="33" borderId="10" xfId="54" applyNumberFormat="1" applyFont="1" applyFill="1" applyBorder="1" applyAlignment="1">
      <alignment vertical="top" wrapText="1"/>
      <protection/>
    </xf>
    <xf numFmtId="0" fontId="16" fillId="33" borderId="0" xfId="54" applyFont="1" applyFill="1">
      <alignment/>
      <protection/>
    </xf>
    <xf numFmtId="4" fontId="3" fillId="33" borderId="10" xfId="54" applyNumberFormat="1" applyFont="1" applyFill="1" applyBorder="1" applyAlignment="1">
      <alignment horizontal="center" vertical="center" wrapText="1"/>
      <protection/>
    </xf>
    <xf numFmtId="4" fontId="3" fillId="33" borderId="10" xfId="54" applyNumberFormat="1" applyFont="1" applyFill="1" applyBorder="1" applyAlignment="1">
      <alignment wrapText="1"/>
      <protection/>
    </xf>
    <xf numFmtId="4" fontId="10" fillId="33" borderId="0" xfId="54" applyNumberFormat="1" applyFont="1" applyFill="1">
      <alignment/>
      <protection/>
    </xf>
    <xf numFmtId="173" fontId="3" fillId="33" borderId="0" xfId="54" applyNumberFormat="1" applyFont="1" applyFill="1" applyBorder="1" applyAlignment="1">
      <alignment vertical="top" wrapText="1"/>
      <protection/>
    </xf>
    <xf numFmtId="4" fontId="3" fillId="33" borderId="10" xfId="54" applyNumberFormat="1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vertical="top" wrapText="1"/>
      <protection/>
    </xf>
    <xf numFmtId="0" fontId="3" fillId="33" borderId="10" xfId="54" applyFont="1" applyFill="1" applyBorder="1">
      <alignment/>
      <protection/>
    </xf>
    <xf numFmtId="4" fontId="3" fillId="33" borderId="10" xfId="54" applyNumberFormat="1" applyFont="1" applyFill="1" applyBorder="1">
      <alignment/>
      <protection/>
    </xf>
    <xf numFmtId="4" fontId="3" fillId="33" borderId="10" xfId="54" applyNumberFormat="1" applyFont="1" applyFill="1" applyBorder="1" applyAlignment="1">
      <alignment horizontal="center" vertical="top"/>
      <protection/>
    </xf>
    <xf numFmtId="0" fontId="3" fillId="33" borderId="0" xfId="54" applyFont="1" applyFill="1" applyBorder="1" applyAlignment="1">
      <alignment horizontal="center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vertical="top" wrapText="1"/>
      <protection/>
    </xf>
    <xf numFmtId="2" fontId="3" fillId="33" borderId="0" xfId="54" applyNumberFormat="1" applyFont="1" applyFill="1" applyBorder="1" applyAlignment="1">
      <alignment horizontal="center" vertical="top"/>
      <protection/>
    </xf>
    <xf numFmtId="0" fontId="17" fillId="33" borderId="0" xfId="54" applyFont="1" applyFill="1">
      <alignment/>
      <protection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54" applyFont="1" applyFill="1" applyBorder="1">
      <alignment/>
      <protection/>
    </xf>
    <xf numFmtId="0" fontId="3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top"/>
    </xf>
    <xf numFmtId="0" fontId="14" fillId="33" borderId="0" xfId="0" applyFont="1" applyFill="1" applyAlignment="1">
      <alignment horizontal="left" vertical="top"/>
    </xf>
    <xf numFmtId="4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/>
    </xf>
    <xf numFmtId="0" fontId="3" fillId="33" borderId="10" xfId="54" applyFont="1" applyFill="1" applyBorder="1" applyAlignment="1">
      <alignment vertical="top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4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54" applyNumberFormat="1" applyFont="1" applyFill="1" applyBorder="1" applyAlignment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" fontId="3" fillId="0" borderId="10" xfId="54" applyNumberFormat="1" applyFont="1" applyFill="1" applyBorder="1" applyAlignment="1">
      <alignment horizontal="center" vertical="top" wrapText="1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4" fontId="62" fillId="33" borderId="0" xfId="54" applyNumberFormat="1" applyFont="1" applyFill="1">
      <alignment/>
      <protection/>
    </xf>
    <xf numFmtId="0" fontId="3" fillId="33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8" fillId="33" borderId="0" xfId="54" applyFont="1" applyFill="1" applyBorder="1" applyAlignment="1">
      <alignment horizontal="center" vertical="top"/>
      <protection/>
    </xf>
    <xf numFmtId="0" fontId="18" fillId="33" borderId="0" xfId="54" applyFont="1" applyFill="1" applyBorder="1" applyAlignment="1">
      <alignment horizontal="left" vertical="top" wrapText="1"/>
      <protection/>
    </xf>
    <xf numFmtId="0" fontId="18" fillId="33" borderId="0" xfId="54" applyFont="1" applyFill="1" applyBorder="1" applyAlignment="1">
      <alignment vertical="top" wrapText="1"/>
      <protection/>
    </xf>
    <xf numFmtId="2" fontId="18" fillId="33" borderId="0" xfId="54" applyNumberFormat="1" applyFont="1" applyFill="1" applyBorder="1" applyAlignment="1">
      <alignment horizontal="center" vertical="top"/>
      <protection/>
    </xf>
    <xf numFmtId="0" fontId="3" fillId="33" borderId="11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7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15" xfId="0" applyFont="1" applyFill="1" applyBorder="1" applyAlignment="1">
      <alignment horizontal="left" vertical="center" wrapText="1"/>
    </xf>
    <xf numFmtId="0" fontId="18" fillId="33" borderId="0" xfId="54" applyFont="1" applyFill="1" applyBorder="1" applyAlignment="1">
      <alignment horizontal="center" vertical="top"/>
      <protection/>
    </xf>
    <xf numFmtId="2" fontId="18" fillId="33" borderId="0" xfId="54" applyNumberFormat="1" applyFont="1" applyFill="1" applyBorder="1" applyAlignment="1">
      <alignment horizontal="center" vertical="top"/>
      <protection/>
    </xf>
    <xf numFmtId="0" fontId="3" fillId="33" borderId="10" xfId="54" applyFont="1" applyFill="1" applyBorder="1" applyAlignment="1">
      <alignment vertical="top" wrapText="1"/>
      <protection/>
    </xf>
    <xf numFmtId="0" fontId="3" fillId="33" borderId="10" xfId="54" applyFont="1" applyFill="1" applyBorder="1" applyAlignment="1">
      <alignment horizontal="center" vertical="top"/>
      <protection/>
    </xf>
    <xf numFmtId="0" fontId="3" fillId="33" borderId="10" xfId="54" applyFont="1" applyFill="1" applyBorder="1" applyAlignment="1">
      <alignment horizontal="left" vertical="top" wrapText="1"/>
      <protection/>
    </xf>
    <xf numFmtId="0" fontId="3" fillId="33" borderId="27" xfId="54" applyFont="1" applyFill="1" applyBorder="1" applyAlignment="1">
      <alignment vertical="top" wrapText="1"/>
      <protection/>
    </xf>
    <xf numFmtId="0" fontId="3" fillId="33" borderId="28" xfId="54" applyFont="1" applyFill="1" applyBorder="1" applyAlignment="1">
      <alignment vertical="top" wrapText="1"/>
      <protection/>
    </xf>
    <xf numFmtId="0" fontId="3" fillId="33" borderId="11" xfId="54" applyFont="1" applyFill="1" applyBorder="1" applyAlignment="1">
      <alignment vertical="top" wrapText="1"/>
      <protection/>
    </xf>
    <xf numFmtId="0" fontId="3" fillId="33" borderId="17" xfId="54" applyFont="1" applyFill="1" applyBorder="1" applyAlignment="1">
      <alignment vertical="top" wrapText="1"/>
      <protection/>
    </xf>
    <xf numFmtId="0" fontId="3" fillId="33" borderId="15" xfId="54" applyFont="1" applyFill="1" applyBorder="1" applyAlignment="1">
      <alignment vertical="top" wrapText="1"/>
      <protection/>
    </xf>
    <xf numFmtId="0" fontId="3" fillId="33" borderId="11" xfId="54" applyFont="1" applyFill="1" applyBorder="1" applyAlignment="1">
      <alignment horizontal="left" vertical="top" wrapText="1"/>
      <protection/>
    </xf>
    <xf numFmtId="0" fontId="3" fillId="33" borderId="17" xfId="54" applyFont="1" applyFill="1" applyBorder="1" applyAlignment="1">
      <alignment horizontal="left" vertical="top" wrapText="1"/>
      <protection/>
    </xf>
    <xf numFmtId="0" fontId="3" fillId="33" borderId="0" xfId="54" applyFont="1" applyFill="1" applyAlignment="1">
      <alignment horizontal="center"/>
      <protection/>
    </xf>
    <xf numFmtId="0" fontId="3" fillId="33" borderId="10" xfId="54" applyFont="1" applyFill="1" applyBorder="1" applyAlignment="1">
      <alignment horizontal="center" vertical="top" wrapText="1"/>
      <protection/>
    </xf>
    <xf numFmtId="0" fontId="10" fillId="33" borderId="17" xfId="54" applyFont="1" applyFill="1" applyBorder="1" applyAlignment="1">
      <alignment vertical="top" wrapText="1"/>
      <protection/>
    </xf>
    <xf numFmtId="0" fontId="10" fillId="33" borderId="15" xfId="54" applyFont="1" applyFill="1" applyBorder="1" applyAlignment="1">
      <alignment vertical="top" wrapText="1"/>
      <protection/>
    </xf>
    <xf numFmtId="0" fontId="8" fillId="33" borderId="10" xfId="54" applyFont="1" applyFill="1" applyBorder="1" applyAlignment="1">
      <alignment vertical="top" wrapText="1"/>
      <protection/>
    </xf>
    <xf numFmtId="0" fontId="18" fillId="33" borderId="0" xfId="54" applyFont="1" applyFill="1" applyBorder="1" applyAlignment="1">
      <alignment horizontal="left" vertical="top" wrapText="1"/>
      <protection/>
    </xf>
    <xf numFmtId="0" fontId="5" fillId="33" borderId="0" xfId="54" applyNumberFormat="1" applyFont="1" applyFill="1" applyAlignment="1">
      <alignment horizontal="center" vertical="top" wrapText="1"/>
      <protection/>
    </xf>
    <xf numFmtId="0" fontId="3" fillId="33" borderId="15" xfId="54" applyFont="1" applyFill="1" applyBorder="1" applyAlignment="1">
      <alignment horizontal="left" vertical="top" wrapText="1"/>
      <protection/>
    </xf>
    <xf numFmtId="0" fontId="12" fillId="33" borderId="0" xfId="54" applyFont="1" applyFill="1" applyBorder="1" applyAlignment="1">
      <alignment horizontal="center"/>
      <protection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6.7\&#1086;&#1090;&#1076;&#1077;&#1083;%20&#1101;&#1082;&#1086;&#1085;&#1086;&#1084;&#1080;&#1082;&#1080;\&#1043;&#1054;&#1057;&#1059;&#1044;&#1040;&#1056;&#1057;&#1058;&#1042;&#1045;&#1053;&#1053;&#1067;&#1045;%20&#1055;&#1056;&#1054;&#1043;&#1056;&#1040;&#1052;&#1052;&#1067;\&#1057;&#1054;&#1062;.&#1055;&#1054;&#1044;-&#1050;&#1040;%20&#1053;&#1040;&#1057;&#1045;&#1051;&#1045;&#1053;&#1048;&#1071;%20&#1042;%20&#1056;&#1050;%20-%20&#1052;&#1047;&#1057;&#1056;%20&#1056;&#1050;\&#1042;&#1077;&#1088;&#1089;&#1080;&#1103;%20&#1089;&#1086;&#1075;&#1083;&#1072;&#1089;&#1086;&#1074;&#1072;&#1085;&#1072;%202%20&#1072;&#1074;&#1075;&#1091;&#1089;&#1090;&#1072;%202015\22_06&#1040;&#1041;%2016_04%20&#1090;&#1072;&#1073;&#1083;%205_6_7_10_11_11&#1072;_11&#1073;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2;&#1091;\Documents%20and%20Settings\Smirnova\Local%20Settings\Temporary%20Internet%20Files\OLKF\&#1043;&#1055;_&#1048;&#1058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он "/>
      <sheetName val="РАБ_БЮДЖ"/>
      <sheetName val="Табл 6 (2014-20 гг.)"/>
      <sheetName val="Табл 10"/>
      <sheetName val="Табл 5"/>
      <sheetName val="Табл 7 (ист)"/>
      <sheetName val="Табл 11 (ПНО)"/>
      <sheetName val="Табл 11а (инМСП)"/>
      <sheetName val="Табл 11б (МБТнаМСП)"/>
      <sheetName val="Таб 1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.сч"/>
      <sheetName val="РАБ_БЮДЖ"/>
      <sheetName val="2014 г."/>
      <sheetName val="2014-20 гг."/>
      <sheetName val="ПНО"/>
      <sheetName val="инМСП"/>
      <sheetName val="МБТнаМСП"/>
      <sheetName val="Показатели"/>
      <sheetName val="Рабочий"/>
      <sheetName val="втр"/>
      <sheetName val="Прочее"/>
      <sheetName val="табл 10 от Соколовой ОА"/>
      <sheetName val="2014раб"/>
      <sheetName val="Источники"/>
      <sheetName val="Табл 7 (источники)"/>
      <sheetName val="Табл 5 (Показ)"/>
      <sheetName val="Табл 6 (2014-20 гг.)"/>
      <sheetName val="Табл 10 (2014 г.)"/>
      <sheetName val="Табл 11 (ПНО)"/>
      <sheetName val="Табл 11а (инМСП)"/>
      <sheetName val="Табл 11б (МБТнаМСП)"/>
      <sheetName val="Таб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9"/>
  <sheetViews>
    <sheetView view="pageBreakPreview" zoomScale="87" zoomScaleSheetLayoutView="87" zoomScalePageLayoutView="0" workbookViewId="0" topLeftCell="A1">
      <selection activeCell="B7" sqref="B7:B12"/>
    </sheetView>
  </sheetViews>
  <sheetFormatPr defaultColWidth="9.140625" defaultRowHeight="15"/>
  <cols>
    <col min="1" max="1" width="14.8515625" style="45" customWidth="1"/>
    <col min="2" max="2" width="37.00390625" style="44" customWidth="1"/>
    <col min="3" max="3" width="23.28125" style="45" customWidth="1"/>
    <col min="4" max="5" width="9.28125" style="45" bestFit="1" customWidth="1"/>
    <col min="6" max="6" width="13.421875" style="45" customWidth="1"/>
    <col min="7" max="7" width="9.00390625" style="45" customWidth="1"/>
    <col min="8" max="8" width="11.8515625" style="46" customWidth="1"/>
    <col min="9" max="9" width="13.57421875" style="45" customWidth="1"/>
    <col min="10" max="10" width="12.8515625" style="111" customWidth="1"/>
    <col min="11" max="11" width="11.140625" style="111" customWidth="1"/>
    <col min="12" max="12" width="11.7109375" style="46" customWidth="1"/>
    <col min="13" max="13" width="11.140625" style="46" customWidth="1"/>
    <col min="14" max="14" width="11.7109375" style="46" customWidth="1"/>
    <col min="15" max="15" width="10.00390625" style="48" bestFit="1" customWidth="1"/>
    <col min="16" max="17" width="11.140625" style="45" bestFit="1" customWidth="1"/>
    <col min="18" max="20" width="9.140625" style="45" customWidth="1"/>
    <col min="21" max="16384" width="9.140625" style="45" customWidth="1"/>
  </cols>
  <sheetData>
    <row r="1" spans="11:14" ht="15" customHeight="1">
      <c r="K1" s="147" t="s">
        <v>209</v>
      </c>
      <c r="L1" s="147"/>
      <c r="M1" s="147"/>
      <c r="N1" s="147"/>
    </row>
    <row r="2" spans="2:14" ht="25.5" customHeight="1">
      <c r="B2" s="148" t="s">
        <v>135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4" spans="1:14" ht="96.75" customHeight="1">
      <c r="A4" s="141" t="s">
        <v>1</v>
      </c>
      <c r="B4" s="141" t="s">
        <v>2</v>
      </c>
      <c r="C4" s="141" t="s">
        <v>3</v>
      </c>
      <c r="D4" s="141" t="s">
        <v>4</v>
      </c>
      <c r="E4" s="141"/>
      <c r="F4" s="141"/>
      <c r="G4" s="141"/>
      <c r="H4" s="141" t="s">
        <v>5</v>
      </c>
      <c r="I4" s="141"/>
      <c r="J4" s="141"/>
      <c r="K4" s="141"/>
      <c r="L4" s="141"/>
      <c r="M4" s="141"/>
      <c r="N4" s="141"/>
    </row>
    <row r="5" spans="1:16" ht="21.75" customHeight="1">
      <c r="A5" s="141"/>
      <c r="B5" s="141"/>
      <c r="C5" s="141"/>
      <c r="D5" s="105" t="s">
        <v>6</v>
      </c>
      <c r="E5" s="105" t="s">
        <v>7</v>
      </c>
      <c r="F5" s="105" t="s">
        <v>8</v>
      </c>
      <c r="G5" s="105" t="s">
        <v>9</v>
      </c>
      <c r="H5" s="42">
        <v>2014</v>
      </c>
      <c r="I5" s="42">
        <v>2015</v>
      </c>
      <c r="J5" s="42">
        <v>2016</v>
      </c>
      <c r="K5" s="42">
        <v>2017</v>
      </c>
      <c r="L5" s="42">
        <v>2018</v>
      </c>
      <c r="M5" s="42">
        <v>2019</v>
      </c>
      <c r="N5" s="42">
        <v>2020</v>
      </c>
      <c r="P5" s="46"/>
    </row>
    <row r="6" spans="1:14" ht="12.75">
      <c r="A6" s="108">
        <v>1</v>
      </c>
      <c r="B6" s="113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</row>
    <row r="7" spans="1:21" ht="12.75" customHeight="1">
      <c r="A7" s="135" t="s">
        <v>10</v>
      </c>
      <c r="B7" s="135" t="s">
        <v>221</v>
      </c>
      <c r="C7" s="49" t="s">
        <v>222</v>
      </c>
      <c r="D7" s="108" t="s">
        <v>13</v>
      </c>
      <c r="E7" s="108" t="s">
        <v>13</v>
      </c>
      <c r="F7" s="108" t="s">
        <v>13</v>
      </c>
      <c r="G7" s="108" t="s">
        <v>13</v>
      </c>
      <c r="H7" s="112">
        <f aca="true" t="shared" si="0" ref="H7:N7">H8+H9+H10+H11+H12</f>
        <v>7509925.21979</v>
      </c>
      <c r="I7" s="112">
        <f t="shared" si="0"/>
        <v>6819704.76322</v>
      </c>
      <c r="J7" s="112">
        <f t="shared" si="0"/>
        <v>6846195.8</v>
      </c>
      <c r="K7" s="112">
        <f t="shared" si="0"/>
        <v>5715693.300000001</v>
      </c>
      <c r="L7" s="112">
        <f t="shared" si="0"/>
        <v>5715693.300000001</v>
      </c>
      <c r="M7" s="112">
        <f t="shared" si="0"/>
        <v>5715693.300000001</v>
      </c>
      <c r="N7" s="112">
        <f t="shared" si="0"/>
        <v>5715693.300000001</v>
      </c>
      <c r="O7" s="50">
        <f>H7-'Приложение 4 '!H7</f>
        <v>0</v>
      </c>
      <c r="P7" s="50">
        <f>I7-'Приложение 4 '!I7</f>
        <v>0</v>
      </c>
      <c r="Q7" s="50">
        <f>J7-'Приложение 4 '!J7</f>
        <v>284673.2999999989</v>
      </c>
      <c r="R7" s="50">
        <f>K7-'Приложение 4 '!K7</f>
        <v>0</v>
      </c>
      <c r="S7" s="50">
        <f>L7-'Приложение 4 '!L7</f>
        <v>0</v>
      </c>
      <c r="T7" s="50">
        <f>M7-'Приложение 4 '!M7</f>
        <v>0</v>
      </c>
      <c r="U7" s="50">
        <f>N7-'Приложение 4 '!N7</f>
        <v>0</v>
      </c>
    </row>
    <row r="8" spans="1:17" ht="38.25">
      <c r="A8" s="145"/>
      <c r="B8" s="145"/>
      <c r="C8" s="49" t="s">
        <v>14</v>
      </c>
      <c r="D8" s="105">
        <v>801</v>
      </c>
      <c r="E8" s="105" t="s">
        <v>13</v>
      </c>
      <c r="F8" s="105" t="s">
        <v>13</v>
      </c>
      <c r="G8" s="105" t="s">
        <v>13</v>
      </c>
      <c r="H8" s="43">
        <f>H15+H35+H95</f>
        <v>7402590.11979</v>
      </c>
      <c r="I8" s="43">
        <f>I15+I35+I95</f>
        <v>6693495.36322</v>
      </c>
      <c r="J8" s="43">
        <f>J15+J35+J95+J99</f>
        <v>6701128.3</v>
      </c>
      <c r="K8" s="43">
        <f>K15+K35+K95</f>
        <v>5625325.9</v>
      </c>
      <c r="L8" s="43">
        <f>L15+L35+L95</f>
        <v>5625325.9</v>
      </c>
      <c r="M8" s="43">
        <f>M15+M35+M95</f>
        <v>5625325.9</v>
      </c>
      <c r="N8" s="43">
        <f>N15+N35+N95</f>
        <v>5625325.9</v>
      </c>
      <c r="P8" s="46"/>
      <c r="Q8" s="46"/>
    </row>
    <row r="9" spans="1:14" ht="38.25">
      <c r="A9" s="145"/>
      <c r="B9" s="145"/>
      <c r="C9" s="49" t="s">
        <v>199</v>
      </c>
      <c r="D9" s="105">
        <v>800</v>
      </c>
      <c r="E9" s="105" t="s">
        <v>13</v>
      </c>
      <c r="F9" s="105" t="s">
        <v>13</v>
      </c>
      <c r="G9" s="105" t="s">
        <v>13</v>
      </c>
      <c r="H9" s="43">
        <f aca="true" t="shared" si="1" ref="H9:N10">H16</f>
        <v>50689.1</v>
      </c>
      <c r="I9" s="43">
        <f t="shared" si="1"/>
        <v>41269.9</v>
      </c>
      <c r="J9" s="43">
        <f t="shared" si="1"/>
        <v>40914</v>
      </c>
      <c r="K9" s="43">
        <f t="shared" si="1"/>
        <v>39514.4</v>
      </c>
      <c r="L9" s="43">
        <f t="shared" si="1"/>
        <v>39514.4</v>
      </c>
      <c r="M9" s="43">
        <f t="shared" si="1"/>
        <v>39514.4</v>
      </c>
      <c r="N9" s="43">
        <f t="shared" si="1"/>
        <v>39514.4</v>
      </c>
    </row>
    <row r="10" spans="1:14" ht="25.5">
      <c r="A10" s="145"/>
      <c r="B10" s="145"/>
      <c r="C10" s="49" t="s">
        <v>19</v>
      </c>
      <c r="D10" s="105">
        <v>802</v>
      </c>
      <c r="E10" s="105" t="s">
        <v>13</v>
      </c>
      <c r="F10" s="105" t="s">
        <v>13</v>
      </c>
      <c r="G10" s="105" t="s">
        <v>13</v>
      </c>
      <c r="H10" s="43">
        <f t="shared" si="1"/>
        <v>56596</v>
      </c>
      <c r="I10" s="43">
        <f t="shared" si="1"/>
        <v>54197</v>
      </c>
      <c r="J10" s="43">
        <f t="shared" si="1"/>
        <v>53846</v>
      </c>
      <c r="K10" s="43">
        <f t="shared" si="1"/>
        <v>50853</v>
      </c>
      <c r="L10" s="43">
        <f t="shared" si="1"/>
        <v>50853</v>
      </c>
      <c r="M10" s="43">
        <f t="shared" si="1"/>
        <v>50853</v>
      </c>
      <c r="N10" s="43">
        <f t="shared" si="1"/>
        <v>50853</v>
      </c>
    </row>
    <row r="11" spans="1:14" ht="57.75" customHeight="1">
      <c r="A11" s="145"/>
      <c r="B11" s="145"/>
      <c r="C11" s="49" t="s">
        <v>20</v>
      </c>
      <c r="D11" s="105">
        <v>814</v>
      </c>
      <c r="E11" s="105" t="s">
        <v>13</v>
      </c>
      <c r="F11" s="105" t="s">
        <v>13</v>
      </c>
      <c r="G11" s="105" t="s">
        <v>13</v>
      </c>
      <c r="H11" s="43">
        <f aca="true" t="shared" si="2" ref="H11:N11">H37</f>
        <v>50</v>
      </c>
      <c r="I11" s="43">
        <f t="shared" si="2"/>
        <v>0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0</v>
      </c>
      <c r="N11" s="43">
        <f t="shared" si="2"/>
        <v>0</v>
      </c>
    </row>
    <row r="12" spans="1:14" ht="67.5" customHeight="1">
      <c r="A12" s="136"/>
      <c r="B12" s="136"/>
      <c r="C12" s="49" t="s">
        <v>21</v>
      </c>
      <c r="D12" s="105">
        <v>811</v>
      </c>
      <c r="E12" s="105" t="s">
        <v>13</v>
      </c>
      <c r="F12" s="105" t="s">
        <v>13</v>
      </c>
      <c r="G12" s="105" t="s">
        <v>13</v>
      </c>
      <c r="H12" s="43">
        <f aca="true" t="shared" si="3" ref="H12:N12">H18+H38</f>
        <v>0</v>
      </c>
      <c r="I12" s="43">
        <f t="shared" si="3"/>
        <v>30742.5</v>
      </c>
      <c r="J12" s="43">
        <f t="shared" si="3"/>
        <v>50307.5</v>
      </c>
      <c r="K12" s="43">
        <f t="shared" si="3"/>
        <v>0</v>
      </c>
      <c r="L12" s="43">
        <f t="shared" si="3"/>
        <v>0</v>
      </c>
      <c r="M12" s="43">
        <f t="shared" si="3"/>
        <v>0</v>
      </c>
      <c r="N12" s="43">
        <f t="shared" si="3"/>
        <v>0</v>
      </c>
    </row>
    <row r="13" spans="1:15" s="52" customFormat="1" ht="12.75" customHeight="1">
      <c r="A13" s="141" t="s">
        <v>22</v>
      </c>
      <c r="B13" s="131" t="s">
        <v>136</v>
      </c>
      <c r="C13" s="131" t="s">
        <v>222</v>
      </c>
      <c r="D13" s="141" t="s">
        <v>13</v>
      </c>
      <c r="E13" s="141" t="s">
        <v>13</v>
      </c>
      <c r="F13" s="141" t="s">
        <v>13</v>
      </c>
      <c r="G13" s="141" t="s">
        <v>13</v>
      </c>
      <c r="H13" s="146">
        <f aca="true" t="shared" si="4" ref="H13:N13">H15+H16+H17+H18</f>
        <v>875406.1</v>
      </c>
      <c r="I13" s="146">
        <f t="shared" si="4"/>
        <v>745416.4</v>
      </c>
      <c r="J13" s="146">
        <f t="shared" si="4"/>
        <v>753381</v>
      </c>
      <c r="K13" s="146">
        <f t="shared" si="4"/>
        <v>723327.5000000001</v>
      </c>
      <c r="L13" s="146">
        <f t="shared" si="4"/>
        <v>723327.5000000001</v>
      </c>
      <c r="M13" s="146">
        <f t="shared" si="4"/>
        <v>723327.5000000001</v>
      </c>
      <c r="N13" s="146">
        <f t="shared" si="4"/>
        <v>723327.5000000001</v>
      </c>
      <c r="O13" s="51"/>
    </row>
    <row r="14" spans="1:14" ht="12.75" customHeight="1">
      <c r="A14" s="141"/>
      <c r="B14" s="133"/>
      <c r="C14" s="132"/>
      <c r="D14" s="141"/>
      <c r="E14" s="141"/>
      <c r="F14" s="141"/>
      <c r="G14" s="141"/>
      <c r="H14" s="146"/>
      <c r="I14" s="146"/>
      <c r="J14" s="146"/>
      <c r="K14" s="146"/>
      <c r="L14" s="146"/>
      <c r="M14" s="146"/>
      <c r="N14" s="146"/>
    </row>
    <row r="15" spans="1:14" ht="40.5" customHeight="1">
      <c r="A15" s="141"/>
      <c r="B15" s="133"/>
      <c r="C15" s="49" t="s">
        <v>14</v>
      </c>
      <c r="D15" s="105">
        <v>801</v>
      </c>
      <c r="E15" s="105" t="s">
        <v>13</v>
      </c>
      <c r="F15" s="105" t="s">
        <v>13</v>
      </c>
      <c r="G15" s="105" t="s">
        <v>13</v>
      </c>
      <c r="H15" s="43">
        <f aca="true" t="shared" si="5" ref="H15:N15">H20+H21+H22+H23+H24+H28+H30+H32</f>
        <v>768121</v>
      </c>
      <c r="I15" s="43">
        <f t="shared" si="5"/>
        <v>649949.5</v>
      </c>
      <c r="J15" s="43">
        <f t="shared" si="5"/>
        <v>658621</v>
      </c>
      <c r="K15" s="43">
        <f t="shared" si="5"/>
        <v>632960.1000000001</v>
      </c>
      <c r="L15" s="43">
        <f t="shared" si="5"/>
        <v>632960.1000000001</v>
      </c>
      <c r="M15" s="43">
        <f t="shared" si="5"/>
        <v>632960.1000000001</v>
      </c>
      <c r="N15" s="43">
        <f t="shared" si="5"/>
        <v>632960.1000000001</v>
      </c>
    </row>
    <row r="16" spans="1:14" ht="38.25">
      <c r="A16" s="141"/>
      <c r="B16" s="133"/>
      <c r="C16" s="49" t="s">
        <v>199</v>
      </c>
      <c r="D16" s="105">
        <v>800</v>
      </c>
      <c r="E16" s="105" t="s">
        <v>13</v>
      </c>
      <c r="F16" s="105" t="s">
        <v>13</v>
      </c>
      <c r="G16" s="105" t="s">
        <v>13</v>
      </c>
      <c r="H16" s="43">
        <v>50689.1</v>
      </c>
      <c r="I16" s="43">
        <v>41269.9</v>
      </c>
      <c r="J16" s="43">
        <v>40914</v>
      </c>
      <c r="K16" s="43">
        <v>39514.4</v>
      </c>
      <c r="L16" s="43">
        <v>39514.4</v>
      </c>
      <c r="M16" s="43">
        <v>39514.4</v>
      </c>
      <c r="N16" s="43">
        <v>39514.4</v>
      </c>
    </row>
    <row r="17" spans="1:14" ht="25.5">
      <c r="A17" s="141"/>
      <c r="B17" s="133"/>
      <c r="C17" s="49" t="s">
        <v>19</v>
      </c>
      <c r="D17" s="105">
        <v>802</v>
      </c>
      <c r="E17" s="105" t="s">
        <v>13</v>
      </c>
      <c r="F17" s="105" t="s">
        <v>13</v>
      </c>
      <c r="G17" s="105" t="s">
        <v>13</v>
      </c>
      <c r="H17" s="43">
        <v>56596</v>
      </c>
      <c r="I17" s="43">
        <v>54197</v>
      </c>
      <c r="J17" s="43">
        <v>53846</v>
      </c>
      <c r="K17" s="43">
        <v>50853</v>
      </c>
      <c r="L17" s="43">
        <v>50853</v>
      </c>
      <c r="M17" s="43">
        <v>50853</v>
      </c>
      <c r="N17" s="43">
        <v>50853</v>
      </c>
    </row>
    <row r="18" spans="1:14" ht="66" customHeight="1">
      <c r="A18" s="141"/>
      <c r="B18" s="132"/>
      <c r="C18" s="49" t="s">
        <v>21</v>
      </c>
      <c r="D18" s="105">
        <v>811</v>
      </c>
      <c r="E18" s="105" t="s">
        <v>13</v>
      </c>
      <c r="F18" s="105" t="s">
        <v>13</v>
      </c>
      <c r="G18" s="105" t="s">
        <v>13</v>
      </c>
      <c r="H18" s="43">
        <f aca="true" t="shared" si="6" ref="H18:N18">H33</f>
        <v>0</v>
      </c>
      <c r="I18" s="43">
        <f t="shared" si="6"/>
        <v>0</v>
      </c>
      <c r="J18" s="43"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</row>
    <row r="19" spans="1:14" ht="49.5" customHeight="1">
      <c r="A19" s="131" t="s">
        <v>223</v>
      </c>
      <c r="B19" s="131" t="s">
        <v>224</v>
      </c>
      <c r="C19" s="104" t="s">
        <v>222</v>
      </c>
      <c r="D19" s="108" t="s">
        <v>13</v>
      </c>
      <c r="E19" s="108" t="s">
        <v>13</v>
      </c>
      <c r="F19" s="108" t="s">
        <v>13</v>
      </c>
      <c r="G19" s="108" t="s">
        <v>13</v>
      </c>
      <c r="H19" s="109">
        <f>SUM(H20:H26)</f>
        <v>875406.1</v>
      </c>
      <c r="I19" s="109">
        <f aca="true" t="shared" si="7" ref="I19:N19">SUM(I20:I26)</f>
        <v>745416.4</v>
      </c>
      <c r="J19" s="109">
        <f t="shared" si="7"/>
        <v>753381</v>
      </c>
      <c r="K19" s="109">
        <f t="shared" si="7"/>
        <v>723327.5000000001</v>
      </c>
      <c r="L19" s="109">
        <f t="shared" si="7"/>
        <v>723327.5000000001</v>
      </c>
      <c r="M19" s="109">
        <f t="shared" si="7"/>
        <v>723327.5000000001</v>
      </c>
      <c r="N19" s="109">
        <f t="shared" si="7"/>
        <v>723327.5000000001</v>
      </c>
    </row>
    <row r="20" spans="1:15" ht="29.25" customHeight="1">
      <c r="A20" s="133"/>
      <c r="B20" s="133"/>
      <c r="C20" s="135" t="s">
        <v>14</v>
      </c>
      <c r="D20" s="149">
        <v>801</v>
      </c>
      <c r="E20" s="105" t="s">
        <v>26</v>
      </c>
      <c r="F20" s="105" t="s">
        <v>139</v>
      </c>
      <c r="G20" s="105">
        <v>610</v>
      </c>
      <c r="H20" s="43">
        <f>330548.4-18.75</f>
        <v>330529.65</v>
      </c>
      <c r="I20" s="43">
        <f>259311.1-35</f>
        <v>259276.1</v>
      </c>
      <c r="J20" s="43">
        <v>266396.8</v>
      </c>
      <c r="K20" s="43">
        <v>252744.7</v>
      </c>
      <c r="L20" s="43">
        <v>252744.7</v>
      </c>
      <c r="M20" s="43">
        <v>252744.7</v>
      </c>
      <c r="N20" s="43">
        <v>252744.7</v>
      </c>
      <c r="O20" s="56" t="s">
        <v>140</v>
      </c>
    </row>
    <row r="21" spans="1:15" ht="20.25" customHeight="1">
      <c r="A21" s="133"/>
      <c r="B21" s="133"/>
      <c r="C21" s="145"/>
      <c r="D21" s="150"/>
      <c r="E21" s="105" t="s">
        <v>26</v>
      </c>
      <c r="F21" s="105" t="s">
        <v>139</v>
      </c>
      <c r="G21" s="105">
        <v>620</v>
      </c>
      <c r="H21" s="43">
        <f>435899.8-155.375</f>
        <v>435744.425</v>
      </c>
      <c r="I21" s="43">
        <f>389039.4-20</f>
        <v>389019.4</v>
      </c>
      <c r="J21" s="43">
        <v>391324.2</v>
      </c>
      <c r="K21" s="43">
        <v>380215.4</v>
      </c>
      <c r="L21" s="43">
        <v>380215.4</v>
      </c>
      <c r="M21" s="43">
        <v>380215.4</v>
      </c>
      <c r="N21" s="43">
        <v>380215.4</v>
      </c>
      <c r="O21" s="56" t="s">
        <v>141</v>
      </c>
    </row>
    <row r="22" spans="1:15" ht="22.5" customHeight="1">
      <c r="A22" s="133"/>
      <c r="B22" s="133"/>
      <c r="C22" s="145"/>
      <c r="D22" s="150"/>
      <c r="E22" s="105" t="s">
        <v>26</v>
      </c>
      <c r="F22" s="105" t="s">
        <v>139</v>
      </c>
      <c r="G22" s="105">
        <v>240</v>
      </c>
      <c r="H22" s="43">
        <v>174.125</v>
      </c>
      <c r="I22" s="43">
        <f>95+20+35</f>
        <v>150</v>
      </c>
      <c r="J22" s="43">
        <v>100</v>
      </c>
      <c r="K22" s="43">
        <v>0</v>
      </c>
      <c r="L22" s="43">
        <v>0</v>
      </c>
      <c r="M22" s="43">
        <v>0</v>
      </c>
      <c r="N22" s="43">
        <v>0</v>
      </c>
      <c r="O22" s="54" t="s">
        <v>142</v>
      </c>
    </row>
    <row r="23" spans="1:14" ht="20.25" customHeight="1">
      <c r="A23" s="133"/>
      <c r="B23" s="133"/>
      <c r="C23" s="145"/>
      <c r="D23" s="150"/>
      <c r="E23" s="105" t="s">
        <v>26</v>
      </c>
      <c r="F23" s="105"/>
      <c r="G23" s="105">
        <v>340</v>
      </c>
      <c r="H23" s="43">
        <v>832.8</v>
      </c>
      <c r="I23" s="43">
        <v>704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5" ht="25.5" customHeight="1">
      <c r="A24" s="133"/>
      <c r="B24" s="133"/>
      <c r="C24" s="136"/>
      <c r="D24" s="151"/>
      <c r="E24" s="105" t="s">
        <v>31</v>
      </c>
      <c r="F24" s="105" t="s">
        <v>144</v>
      </c>
      <c r="G24" s="105">
        <v>340</v>
      </c>
      <c r="H24" s="43">
        <v>840</v>
      </c>
      <c r="I24" s="43">
        <v>800</v>
      </c>
      <c r="J24" s="43">
        <v>800</v>
      </c>
      <c r="K24" s="43">
        <v>0</v>
      </c>
      <c r="L24" s="43">
        <v>0</v>
      </c>
      <c r="M24" s="43">
        <v>0</v>
      </c>
      <c r="N24" s="43">
        <v>0</v>
      </c>
      <c r="O24" s="53" t="s">
        <v>143</v>
      </c>
    </row>
    <row r="25" spans="1:15" ht="55.5" customHeight="1">
      <c r="A25" s="133"/>
      <c r="B25" s="133"/>
      <c r="C25" s="106" t="s">
        <v>199</v>
      </c>
      <c r="D25" s="105">
        <v>800</v>
      </c>
      <c r="E25" s="105" t="s">
        <v>26</v>
      </c>
      <c r="F25" s="105" t="s">
        <v>139</v>
      </c>
      <c r="G25" s="105">
        <v>620</v>
      </c>
      <c r="H25" s="43">
        <v>50689.1</v>
      </c>
      <c r="I25" s="43">
        <v>41269.9</v>
      </c>
      <c r="J25" s="43">
        <v>40914</v>
      </c>
      <c r="K25" s="43">
        <v>39514.4</v>
      </c>
      <c r="L25" s="43">
        <v>39514.4</v>
      </c>
      <c r="M25" s="43">
        <v>39514.4</v>
      </c>
      <c r="N25" s="43">
        <v>39514.4</v>
      </c>
      <c r="O25" s="55"/>
    </row>
    <row r="26" spans="1:14" ht="31.5" customHeight="1">
      <c r="A26" s="132"/>
      <c r="B26" s="132"/>
      <c r="C26" s="106" t="s">
        <v>19</v>
      </c>
      <c r="D26" s="105">
        <v>802</v>
      </c>
      <c r="E26" s="105" t="s">
        <v>26</v>
      </c>
      <c r="F26" s="105" t="s">
        <v>139</v>
      </c>
      <c r="G26" s="105">
        <v>610</v>
      </c>
      <c r="H26" s="43">
        <v>56596</v>
      </c>
      <c r="I26" s="43">
        <v>54197</v>
      </c>
      <c r="J26" s="43">
        <v>53846</v>
      </c>
      <c r="K26" s="43">
        <v>50853</v>
      </c>
      <c r="L26" s="43">
        <v>50853</v>
      </c>
      <c r="M26" s="43">
        <v>50853</v>
      </c>
      <c r="N26" s="43">
        <v>50853</v>
      </c>
    </row>
    <row r="27" spans="1:14" ht="14.25" customHeight="1">
      <c r="A27" s="131" t="s">
        <v>225</v>
      </c>
      <c r="B27" s="131" t="s">
        <v>235</v>
      </c>
      <c r="C27" s="104" t="s">
        <v>222</v>
      </c>
      <c r="D27" s="108" t="s">
        <v>13</v>
      </c>
      <c r="E27" s="108" t="s">
        <v>13</v>
      </c>
      <c r="F27" s="108" t="s">
        <v>13</v>
      </c>
      <c r="G27" s="108" t="s">
        <v>13</v>
      </c>
      <c r="H27" s="109">
        <f>SUM(H28)</f>
        <v>0</v>
      </c>
      <c r="I27" s="109">
        <f aca="true" t="shared" si="8" ref="I27:N27">SUM(I28)</f>
        <v>0</v>
      </c>
      <c r="J27" s="109">
        <f t="shared" si="8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09">
        <f t="shared" si="8"/>
        <v>0</v>
      </c>
    </row>
    <row r="28" spans="1:14" ht="72" customHeight="1">
      <c r="A28" s="132"/>
      <c r="B28" s="132"/>
      <c r="C28" s="106" t="s">
        <v>14</v>
      </c>
      <c r="D28" s="105">
        <v>801</v>
      </c>
      <c r="E28" s="105" t="s">
        <v>13</v>
      </c>
      <c r="F28" s="105" t="s">
        <v>13</v>
      </c>
      <c r="G28" s="105" t="s">
        <v>13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</row>
    <row r="29" spans="1:14" ht="15" customHeight="1">
      <c r="A29" s="131" t="s">
        <v>226</v>
      </c>
      <c r="B29" s="131" t="s">
        <v>236</v>
      </c>
      <c r="C29" s="104" t="s">
        <v>222</v>
      </c>
      <c r="D29" s="108" t="s">
        <v>13</v>
      </c>
      <c r="E29" s="108" t="s">
        <v>13</v>
      </c>
      <c r="F29" s="108" t="s">
        <v>13</v>
      </c>
      <c r="G29" s="108" t="s">
        <v>13</v>
      </c>
      <c r="H29" s="109">
        <f>SUM(H30)</f>
        <v>0</v>
      </c>
      <c r="I29" s="109">
        <f aca="true" t="shared" si="9" ref="I29:N29">SUM(I30)</f>
        <v>0</v>
      </c>
      <c r="J29" s="109">
        <f t="shared" si="9"/>
        <v>0</v>
      </c>
      <c r="K29" s="109">
        <f t="shared" si="9"/>
        <v>0</v>
      </c>
      <c r="L29" s="109">
        <f t="shared" si="9"/>
        <v>0</v>
      </c>
      <c r="M29" s="109">
        <f t="shared" si="9"/>
        <v>0</v>
      </c>
      <c r="N29" s="109">
        <f t="shared" si="9"/>
        <v>0</v>
      </c>
    </row>
    <row r="30" spans="1:14" ht="82.5" customHeight="1">
      <c r="A30" s="132"/>
      <c r="B30" s="132"/>
      <c r="C30" s="106" t="s">
        <v>14</v>
      </c>
      <c r="D30" s="105">
        <v>801</v>
      </c>
      <c r="E30" s="105" t="s">
        <v>13</v>
      </c>
      <c r="F30" s="105" t="s">
        <v>13</v>
      </c>
      <c r="G30" s="105" t="s">
        <v>13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</row>
    <row r="31" spans="1:14" ht="14.25" customHeight="1">
      <c r="A31" s="131" t="s">
        <v>227</v>
      </c>
      <c r="B31" s="131" t="s">
        <v>237</v>
      </c>
      <c r="C31" s="104" t="s">
        <v>222</v>
      </c>
      <c r="D31" s="108" t="s">
        <v>13</v>
      </c>
      <c r="E31" s="108" t="s">
        <v>13</v>
      </c>
      <c r="F31" s="108" t="s">
        <v>13</v>
      </c>
      <c r="G31" s="108" t="s">
        <v>13</v>
      </c>
      <c r="H31" s="109">
        <f>SUM(H32:H33)</f>
        <v>0</v>
      </c>
      <c r="I31" s="109">
        <f aca="true" t="shared" si="10" ref="I31:N31">SUM(I32:I33)</f>
        <v>0</v>
      </c>
      <c r="J31" s="109">
        <f t="shared" si="10"/>
        <v>0</v>
      </c>
      <c r="K31" s="109">
        <f t="shared" si="10"/>
        <v>0</v>
      </c>
      <c r="L31" s="109">
        <f t="shared" si="10"/>
        <v>0</v>
      </c>
      <c r="M31" s="109">
        <f t="shared" si="10"/>
        <v>0</v>
      </c>
      <c r="N31" s="109">
        <f t="shared" si="10"/>
        <v>0</v>
      </c>
    </row>
    <row r="32" spans="1:14" ht="48.75" customHeight="1">
      <c r="A32" s="133"/>
      <c r="B32" s="133"/>
      <c r="C32" s="106" t="s">
        <v>14</v>
      </c>
      <c r="D32" s="105">
        <v>801</v>
      </c>
      <c r="E32" s="105" t="s">
        <v>13</v>
      </c>
      <c r="F32" s="105" t="s">
        <v>13</v>
      </c>
      <c r="G32" s="105" t="s">
        <v>13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</row>
    <row r="33" spans="1:14" ht="69.75" customHeight="1">
      <c r="A33" s="132"/>
      <c r="B33" s="132"/>
      <c r="C33" s="107" t="s">
        <v>21</v>
      </c>
      <c r="D33" s="105">
        <v>811</v>
      </c>
      <c r="E33" s="105" t="s">
        <v>13</v>
      </c>
      <c r="F33" s="105" t="s">
        <v>13</v>
      </c>
      <c r="G33" s="105" t="s">
        <v>13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</row>
    <row r="34" spans="1:21" ht="20.25" customHeight="1">
      <c r="A34" s="134" t="s">
        <v>36</v>
      </c>
      <c r="B34" s="134" t="s">
        <v>127</v>
      </c>
      <c r="C34" s="49" t="s">
        <v>222</v>
      </c>
      <c r="D34" s="105" t="s">
        <v>13</v>
      </c>
      <c r="E34" s="105" t="s">
        <v>13</v>
      </c>
      <c r="F34" s="105" t="s">
        <v>13</v>
      </c>
      <c r="G34" s="105" t="s">
        <v>13</v>
      </c>
      <c r="H34" s="109">
        <f aca="true" t="shared" si="11" ref="H34:N34">H35+H36+H37+H38</f>
        <v>6602537.91979</v>
      </c>
      <c r="I34" s="109">
        <f t="shared" si="11"/>
        <v>6034899.76322</v>
      </c>
      <c r="J34" s="109">
        <f t="shared" si="11"/>
        <v>5958193</v>
      </c>
      <c r="K34" s="109">
        <f t="shared" si="11"/>
        <v>4975365.800000001</v>
      </c>
      <c r="L34" s="109">
        <f t="shared" si="11"/>
        <v>4975365.800000001</v>
      </c>
      <c r="M34" s="109">
        <f t="shared" si="11"/>
        <v>4975365.800000001</v>
      </c>
      <c r="N34" s="109">
        <f t="shared" si="11"/>
        <v>4975365.800000001</v>
      </c>
      <c r="O34" s="50">
        <f>H34-'Приложение 4 '!H33</f>
        <v>0</v>
      </c>
      <c r="P34" s="50">
        <f>I34-'Приложение 4 '!I33</f>
        <v>0</v>
      </c>
      <c r="Q34" s="50">
        <f>J34-'Приложение 4 '!J33</f>
        <v>271370.7999999989</v>
      </c>
      <c r="R34" s="50">
        <f>K34-'Приложение 4 '!K33</f>
        <v>0</v>
      </c>
      <c r="S34" s="50">
        <f>L34-'Приложение 4 '!L33</f>
        <v>0</v>
      </c>
      <c r="T34" s="50">
        <f>M34-'Приложение 4 '!M33</f>
        <v>0</v>
      </c>
      <c r="U34" s="50">
        <f>N34-'Приложение 4 '!N33</f>
        <v>0</v>
      </c>
    </row>
    <row r="35" spans="1:16" ht="40.5" customHeight="1">
      <c r="A35" s="134"/>
      <c r="B35" s="134"/>
      <c r="C35" s="49" t="s">
        <v>14</v>
      </c>
      <c r="D35" s="105">
        <v>801</v>
      </c>
      <c r="E35" s="105" t="s">
        <v>13</v>
      </c>
      <c r="F35" s="105" t="s">
        <v>13</v>
      </c>
      <c r="G35" s="105" t="s">
        <v>13</v>
      </c>
      <c r="H35" s="43">
        <f>H39+H45+H61+H75+H78+H92</f>
        <v>6602487.91979</v>
      </c>
      <c r="I35" s="43">
        <f aca="true" t="shared" si="12" ref="I35:N35">I39+I45+I61+I74-I76+I77-I79+I92</f>
        <v>6004157.26322</v>
      </c>
      <c r="J35" s="43">
        <f t="shared" si="12"/>
        <v>5907885.5</v>
      </c>
      <c r="K35" s="43">
        <f t="shared" si="12"/>
        <v>4975365.800000001</v>
      </c>
      <c r="L35" s="43">
        <f t="shared" si="12"/>
        <v>4975365.800000001</v>
      </c>
      <c r="M35" s="43">
        <f t="shared" si="12"/>
        <v>4975365.800000001</v>
      </c>
      <c r="N35" s="43">
        <f t="shared" si="12"/>
        <v>4975365.800000001</v>
      </c>
      <c r="O35" s="50">
        <f>J39+J45+J61+J75+J78+J93</f>
        <v>5907885.5</v>
      </c>
      <c r="P35" s="46"/>
    </row>
    <row r="36" spans="1:14" ht="33" customHeight="1">
      <c r="A36" s="134"/>
      <c r="B36" s="134"/>
      <c r="C36" s="49" t="s">
        <v>19</v>
      </c>
      <c r="D36" s="105">
        <v>802</v>
      </c>
      <c r="E36" s="105" t="s">
        <v>13</v>
      </c>
      <c r="F36" s="105" t="s">
        <v>13</v>
      </c>
      <c r="G36" s="105" t="s">
        <v>13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</row>
    <row r="37" spans="1:14" ht="60" customHeight="1">
      <c r="A37" s="134"/>
      <c r="B37" s="134"/>
      <c r="C37" s="49" t="s">
        <v>20</v>
      </c>
      <c r="D37" s="105">
        <v>814</v>
      </c>
      <c r="E37" s="105" t="s">
        <v>13</v>
      </c>
      <c r="F37" s="105" t="s">
        <v>13</v>
      </c>
      <c r="G37" s="105" t="s">
        <v>13</v>
      </c>
      <c r="H37" s="43">
        <v>50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</row>
    <row r="38" spans="1:14" ht="71.25" customHeight="1">
      <c r="A38" s="134"/>
      <c r="B38" s="134"/>
      <c r="C38" s="106" t="s">
        <v>21</v>
      </c>
      <c r="D38" s="105">
        <v>811</v>
      </c>
      <c r="E38" s="105" t="s">
        <v>13</v>
      </c>
      <c r="F38" s="105" t="s">
        <v>13</v>
      </c>
      <c r="G38" s="105" t="s">
        <v>13</v>
      </c>
      <c r="H38" s="43">
        <f>H79</f>
        <v>0</v>
      </c>
      <c r="I38" s="43">
        <f aca="true" t="shared" si="13" ref="I38:N38">I79</f>
        <v>30742.5</v>
      </c>
      <c r="J38" s="43">
        <f t="shared" si="13"/>
        <v>50307.5</v>
      </c>
      <c r="K38" s="43">
        <f t="shared" si="13"/>
        <v>0</v>
      </c>
      <c r="L38" s="43">
        <f t="shared" si="13"/>
        <v>0</v>
      </c>
      <c r="M38" s="43">
        <f t="shared" si="13"/>
        <v>0</v>
      </c>
      <c r="N38" s="43">
        <f t="shared" si="13"/>
        <v>0</v>
      </c>
    </row>
    <row r="39" spans="1:14" ht="18.75" customHeight="1">
      <c r="A39" s="133" t="s">
        <v>228</v>
      </c>
      <c r="B39" s="142" t="s">
        <v>238</v>
      </c>
      <c r="C39" s="49" t="s">
        <v>222</v>
      </c>
      <c r="D39" s="105" t="s">
        <v>13</v>
      </c>
      <c r="E39" s="105" t="s">
        <v>13</v>
      </c>
      <c r="F39" s="105" t="s">
        <v>13</v>
      </c>
      <c r="G39" s="105" t="s">
        <v>13</v>
      </c>
      <c r="H39" s="87">
        <f>SUM(H40:H44)</f>
        <v>1459477</v>
      </c>
      <c r="I39" s="87">
        <f aca="true" t="shared" si="14" ref="I39:N39">SUM(I40:I44)</f>
        <v>1592630.5</v>
      </c>
      <c r="J39" s="87">
        <f t="shared" si="14"/>
        <v>2075496.5</v>
      </c>
      <c r="K39" s="87">
        <f t="shared" si="14"/>
        <v>1351310.8</v>
      </c>
      <c r="L39" s="87">
        <f t="shared" si="14"/>
        <v>1351310.8</v>
      </c>
      <c r="M39" s="87">
        <f t="shared" si="14"/>
        <v>1351310.8</v>
      </c>
      <c r="N39" s="87">
        <f t="shared" si="14"/>
        <v>1351310.8</v>
      </c>
    </row>
    <row r="40" spans="1:15" ht="29.25" customHeight="1">
      <c r="A40" s="133"/>
      <c r="B40" s="142"/>
      <c r="C40" s="131" t="s">
        <v>14</v>
      </c>
      <c r="D40" s="152">
        <v>801</v>
      </c>
      <c r="E40" s="105" t="s">
        <v>38</v>
      </c>
      <c r="F40" s="105" t="s">
        <v>149</v>
      </c>
      <c r="G40" s="105">
        <v>530</v>
      </c>
      <c r="H40" s="43">
        <v>1222524</v>
      </c>
      <c r="I40" s="43">
        <v>1347826</v>
      </c>
      <c r="J40" s="43">
        <v>1806492</v>
      </c>
      <c r="K40" s="43">
        <v>1140055</v>
      </c>
      <c r="L40" s="43">
        <v>1140055</v>
      </c>
      <c r="M40" s="43">
        <v>1140055</v>
      </c>
      <c r="N40" s="43">
        <v>1140055</v>
      </c>
      <c r="O40" s="55" t="s">
        <v>145</v>
      </c>
    </row>
    <row r="41" spans="1:15" ht="21.75" customHeight="1">
      <c r="A41" s="133"/>
      <c r="B41" s="142"/>
      <c r="C41" s="133"/>
      <c r="D41" s="152"/>
      <c r="E41" s="105" t="s">
        <v>151</v>
      </c>
      <c r="F41" s="105" t="s">
        <v>152</v>
      </c>
      <c r="G41" s="105">
        <v>520</v>
      </c>
      <c r="H41" s="43">
        <v>15377</v>
      </c>
      <c r="I41" s="43">
        <v>15821</v>
      </c>
      <c r="J41" s="43">
        <v>16888</v>
      </c>
      <c r="K41" s="43">
        <v>13315.2</v>
      </c>
      <c r="L41" s="43">
        <v>13315.2</v>
      </c>
      <c r="M41" s="43">
        <v>13315.2</v>
      </c>
      <c r="N41" s="43">
        <v>13315.2</v>
      </c>
      <c r="O41" s="88" t="s">
        <v>148</v>
      </c>
    </row>
    <row r="42" spans="1:15" ht="18.75" customHeight="1">
      <c r="A42" s="133"/>
      <c r="B42" s="142"/>
      <c r="C42" s="133"/>
      <c r="D42" s="152"/>
      <c r="E42" s="105" t="s">
        <v>42</v>
      </c>
      <c r="F42" s="105" t="s">
        <v>153</v>
      </c>
      <c r="G42" s="105">
        <v>530</v>
      </c>
      <c r="H42" s="43">
        <v>183821</v>
      </c>
      <c r="I42" s="43">
        <v>196000</v>
      </c>
      <c r="J42" s="43">
        <v>216801</v>
      </c>
      <c r="K42" s="43">
        <v>164957.1</v>
      </c>
      <c r="L42" s="43">
        <v>164957.1</v>
      </c>
      <c r="M42" s="43">
        <v>164957.1</v>
      </c>
      <c r="N42" s="43">
        <v>164957.1</v>
      </c>
      <c r="O42" s="88" t="s">
        <v>147</v>
      </c>
    </row>
    <row r="43" spans="1:15" ht="18.75" customHeight="1">
      <c r="A43" s="133"/>
      <c r="B43" s="142"/>
      <c r="C43" s="133"/>
      <c r="D43" s="152"/>
      <c r="E43" s="105" t="s">
        <v>44</v>
      </c>
      <c r="F43" s="105" t="s">
        <v>45</v>
      </c>
      <c r="G43" s="105">
        <v>242</v>
      </c>
      <c r="H43" s="121">
        <v>3045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88" t="s">
        <v>214</v>
      </c>
    </row>
    <row r="44" spans="1:15" ht="28.5" customHeight="1">
      <c r="A44" s="132"/>
      <c r="B44" s="142"/>
      <c r="C44" s="132"/>
      <c r="D44" s="152"/>
      <c r="E44" s="105" t="s">
        <v>38</v>
      </c>
      <c r="F44" s="105" t="s">
        <v>150</v>
      </c>
      <c r="G44" s="105">
        <v>630</v>
      </c>
      <c r="H44" s="43">
        <v>34710</v>
      </c>
      <c r="I44" s="43">
        <v>32983.5</v>
      </c>
      <c r="J44" s="43">
        <v>35315.5</v>
      </c>
      <c r="K44" s="43">
        <v>32983.5</v>
      </c>
      <c r="L44" s="43">
        <v>32983.5</v>
      </c>
      <c r="M44" s="43">
        <v>32983.5</v>
      </c>
      <c r="N44" s="43">
        <v>32983.5</v>
      </c>
      <c r="O44" s="55" t="s">
        <v>146</v>
      </c>
    </row>
    <row r="45" spans="1:14" ht="16.5" customHeight="1">
      <c r="A45" s="131" t="s">
        <v>230</v>
      </c>
      <c r="B45" s="131" t="s">
        <v>250</v>
      </c>
      <c r="C45" s="49" t="s">
        <v>222</v>
      </c>
      <c r="D45" s="105" t="s">
        <v>13</v>
      </c>
      <c r="E45" s="105" t="s">
        <v>13</v>
      </c>
      <c r="F45" s="105" t="s">
        <v>13</v>
      </c>
      <c r="G45" s="105" t="s">
        <v>13</v>
      </c>
      <c r="H45" s="109">
        <f>SUM(H46:H60)</f>
        <v>4445644.23186</v>
      </c>
      <c r="I45" s="109">
        <f aca="true" t="shared" si="15" ref="I45:N45">SUM(I46:I60)</f>
        <v>3992022.0999999996</v>
      </c>
      <c r="J45" s="109">
        <f t="shared" si="15"/>
        <v>3632487.7</v>
      </c>
      <c r="K45" s="109">
        <f t="shared" si="15"/>
        <v>3522253.4</v>
      </c>
      <c r="L45" s="109">
        <f t="shared" si="15"/>
        <v>3522253.4</v>
      </c>
      <c r="M45" s="109">
        <f t="shared" si="15"/>
        <v>3522253.4</v>
      </c>
      <c r="N45" s="109">
        <f t="shared" si="15"/>
        <v>3522253.4</v>
      </c>
    </row>
    <row r="46" spans="1:15" ht="26.25" customHeight="1">
      <c r="A46" s="133"/>
      <c r="B46" s="133"/>
      <c r="C46" s="131" t="s">
        <v>14</v>
      </c>
      <c r="D46" s="139">
        <v>801</v>
      </c>
      <c r="E46" s="105" t="s">
        <v>46</v>
      </c>
      <c r="F46" s="105" t="s">
        <v>47</v>
      </c>
      <c r="G46" s="105">
        <v>520</v>
      </c>
      <c r="H46" s="43">
        <v>33.33186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8" t="s">
        <v>211</v>
      </c>
    </row>
    <row r="47" spans="1:15" ht="29.25" customHeight="1">
      <c r="A47" s="133"/>
      <c r="B47" s="133"/>
      <c r="C47" s="133"/>
      <c r="D47" s="144"/>
      <c r="E47" s="139" t="s">
        <v>46</v>
      </c>
      <c r="F47" s="139" t="s">
        <v>156</v>
      </c>
      <c r="G47" s="139" t="s">
        <v>157</v>
      </c>
      <c r="H47" s="43">
        <v>79728.7</v>
      </c>
      <c r="I47" s="43">
        <f>11598.7+45.7+45193.2+13403+1.4</f>
        <v>70242</v>
      </c>
      <c r="J47" s="137">
        <f>12302+101.6+293136.6+5462.1+0.2</f>
        <v>311002.49999999994</v>
      </c>
      <c r="K47" s="137">
        <f>69831.7+243916.7</f>
        <v>313748.4</v>
      </c>
      <c r="L47" s="137">
        <f>69831.7+243916.7</f>
        <v>313748.4</v>
      </c>
      <c r="M47" s="137">
        <f>69831.7+243916.7</f>
        <v>313748.4</v>
      </c>
      <c r="N47" s="137">
        <f>69831.7+243916.7</f>
        <v>313748.4</v>
      </c>
      <c r="O47" s="55" t="s">
        <v>158</v>
      </c>
    </row>
    <row r="48" spans="1:14" ht="28.5" customHeight="1">
      <c r="A48" s="133"/>
      <c r="B48" s="133"/>
      <c r="C48" s="133"/>
      <c r="D48" s="144"/>
      <c r="E48" s="140"/>
      <c r="F48" s="140"/>
      <c r="G48" s="140"/>
      <c r="H48" s="43">
        <v>302491.2</v>
      </c>
      <c r="I48" s="43">
        <f>255302+2713.7</f>
        <v>258015.7</v>
      </c>
      <c r="J48" s="138"/>
      <c r="K48" s="138"/>
      <c r="L48" s="138"/>
      <c r="M48" s="138"/>
      <c r="N48" s="138"/>
    </row>
    <row r="49" spans="1:15" ht="17.25" customHeight="1">
      <c r="A49" s="133"/>
      <c r="B49" s="133"/>
      <c r="C49" s="133"/>
      <c r="D49" s="144"/>
      <c r="E49" s="105" t="s">
        <v>46</v>
      </c>
      <c r="F49" s="105" t="s">
        <v>155</v>
      </c>
      <c r="G49" s="105">
        <v>530</v>
      </c>
      <c r="H49" s="43">
        <v>3977825</v>
      </c>
      <c r="I49" s="43">
        <v>3566656</v>
      </c>
      <c r="J49" s="43">
        <v>3269547</v>
      </c>
      <c r="K49" s="43">
        <v>3124598.9</v>
      </c>
      <c r="L49" s="43">
        <v>3124598.9</v>
      </c>
      <c r="M49" s="43">
        <v>3124598.9</v>
      </c>
      <c r="N49" s="43">
        <v>3124598.9</v>
      </c>
      <c r="O49" s="48" t="s">
        <v>154</v>
      </c>
    </row>
    <row r="50" spans="1:15" ht="18" customHeight="1">
      <c r="A50" s="133"/>
      <c r="B50" s="133"/>
      <c r="C50" s="133"/>
      <c r="D50" s="144"/>
      <c r="E50" s="105" t="s">
        <v>52</v>
      </c>
      <c r="F50" s="105" t="s">
        <v>160</v>
      </c>
      <c r="G50" s="105">
        <v>530</v>
      </c>
      <c r="H50" s="121">
        <v>9709</v>
      </c>
      <c r="I50" s="43">
        <v>9347</v>
      </c>
      <c r="J50" s="43">
        <v>9520</v>
      </c>
      <c r="K50" s="43">
        <v>7801.8</v>
      </c>
      <c r="L50" s="43">
        <v>7801.8</v>
      </c>
      <c r="M50" s="43">
        <v>7801.8</v>
      </c>
      <c r="N50" s="43">
        <v>7801.8</v>
      </c>
      <c r="O50" s="48" t="s">
        <v>159</v>
      </c>
    </row>
    <row r="51" spans="1:15" ht="21" customHeight="1">
      <c r="A51" s="133"/>
      <c r="B51" s="133"/>
      <c r="C51" s="133"/>
      <c r="D51" s="144"/>
      <c r="E51" s="105" t="s">
        <v>46</v>
      </c>
      <c r="F51" s="105" t="s">
        <v>162</v>
      </c>
      <c r="G51" s="105">
        <v>530</v>
      </c>
      <c r="H51" s="43">
        <v>0</v>
      </c>
      <c r="I51" s="43">
        <v>27076</v>
      </c>
      <c r="J51" s="43">
        <v>28661</v>
      </c>
      <c r="K51" s="43">
        <v>22787.7</v>
      </c>
      <c r="L51" s="43">
        <v>22787.7</v>
      </c>
      <c r="M51" s="43">
        <v>22787.7</v>
      </c>
      <c r="N51" s="43">
        <v>22787.7</v>
      </c>
      <c r="O51" s="48" t="s">
        <v>161</v>
      </c>
    </row>
    <row r="52" spans="1:15" ht="21" customHeight="1">
      <c r="A52" s="133"/>
      <c r="B52" s="133"/>
      <c r="C52" s="133"/>
      <c r="D52" s="144"/>
      <c r="E52" s="105" t="s">
        <v>44</v>
      </c>
      <c r="F52" s="105" t="s">
        <v>164</v>
      </c>
      <c r="G52" s="105">
        <v>610</v>
      </c>
      <c r="H52" s="43">
        <v>0</v>
      </c>
      <c r="I52" s="43">
        <v>0</v>
      </c>
      <c r="J52" s="43">
        <v>13757.2</v>
      </c>
      <c r="K52" s="43">
        <v>0</v>
      </c>
      <c r="L52" s="43">
        <v>0</v>
      </c>
      <c r="M52" s="43">
        <v>0</v>
      </c>
      <c r="N52" s="43">
        <v>0</v>
      </c>
      <c r="O52" s="48" t="s">
        <v>165</v>
      </c>
    </row>
    <row r="53" spans="1:15" ht="20.25" customHeight="1">
      <c r="A53" s="133"/>
      <c r="B53" s="133"/>
      <c r="C53" s="133"/>
      <c r="D53" s="144"/>
      <c r="E53" s="105" t="s">
        <v>46</v>
      </c>
      <c r="F53" s="105" t="s">
        <v>55</v>
      </c>
      <c r="G53" s="105" t="s">
        <v>56</v>
      </c>
      <c r="H53" s="43">
        <f>5988+660</f>
        <v>6648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8" t="s">
        <v>216</v>
      </c>
    </row>
    <row r="54" spans="1:15" ht="31.5" customHeight="1">
      <c r="A54" s="133"/>
      <c r="B54" s="133"/>
      <c r="C54" s="133"/>
      <c r="D54" s="144"/>
      <c r="E54" s="105" t="s">
        <v>46</v>
      </c>
      <c r="F54" s="105" t="s">
        <v>57</v>
      </c>
      <c r="G54" s="105" t="s">
        <v>58</v>
      </c>
      <c r="H54" s="43">
        <f>12605.3+3677.5</f>
        <v>16282.8</v>
      </c>
      <c r="I54" s="43">
        <v>2695.8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8" t="s">
        <v>215</v>
      </c>
    </row>
    <row r="55" spans="1:14" ht="27" customHeight="1">
      <c r="A55" s="133"/>
      <c r="B55" s="133"/>
      <c r="C55" s="133"/>
      <c r="D55" s="144"/>
      <c r="E55" s="105" t="s">
        <v>26</v>
      </c>
      <c r="F55" s="105" t="s">
        <v>59</v>
      </c>
      <c r="G55" s="105">
        <v>620</v>
      </c>
      <c r="H55" s="43">
        <v>1200</v>
      </c>
      <c r="I55" s="43">
        <v>629.8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</row>
    <row r="56" spans="1:15" ht="25.5">
      <c r="A56" s="133"/>
      <c r="B56" s="133"/>
      <c r="C56" s="133"/>
      <c r="D56" s="144"/>
      <c r="E56" s="105" t="s">
        <v>31</v>
      </c>
      <c r="F56" s="105" t="s">
        <v>60</v>
      </c>
      <c r="G56" s="105" t="s">
        <v>61</v>
      </c>
      <c r="H56" s="43">
        <v>51126.2</v>
      </c>
      <c r="I56" s="43">
        <f>30434.2+11561+9667.3+324.6-164.3</f>
        <v>51822.799999999996</v>
      </c>
      <c r="J56" s="43">
        <v>0</v>
      </c>
      <c r="K56" s="43">
        <v>52716.6</v>
      </c>
      <c r="L56" s="43">
        <v>52716.6</v>
      </c>
      <c r="M56" s="43">
        <v>52716.6</v>
      </c>
      <c r="N56" s="43">
        <v>52716.6</v>
      </c>
      <c r="O56" s="48" t="s">
        <v>163</v>
      </c>
    </row>
    <row r="57" spans="1:15" ht="21" customHeight="1">
      <c r="A57" s="133"/>
      <c r="B57" s="133"/>
      <c r="C57" s="133"/>
      <c r="D57" s="144"/>
      <c r="E57" s="105" t="s">
        <v>46</v>
      </c>
      <c r="F57" s="105" t="s">
        <v>62</v>
      </c>
      <c r="G57" s="105">
        <v>240</v>
      </c>
      <c r="H57" s="89">
        <v>0</v>
      </c>
      <c r="I57" s="89">
        <v>4218.9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48" t="s">
        <v>215</v>
      </c>
    </row>
    <row r="58" spans="1:15" ht="21" customHeight="1">
      <c r="A58" s="133"/>
      <c r="B58" s="133"/>
      <c r="C58" s="133"/>
      <c r="D58" s="144"/>
      <c r="E58" s="90" t="s">
        <v>31</v>
      </c>
      <c r="F58" s="90" t="s">
        <v>63</v>
      </c>
      <c r="G58" s="90">
        <v>610</v>
      </c>
      <c r="H58" s="89">
        <v>0</v>
      </c>
      <c r="I58" s="89">
        <v>298.1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50"/>
    </row>
    <row r="59" spans="1:14" ht="21" customHeight="1">
      <c r="A59" s="133"/>
      <c r="B59" s="133"/>
      <c r="C59" s="133"/>
      <c r="D59" s="144"/>
      <c r="E59" s="90" t="s">
        <v>31</v>
      </c>
      <c r="F59" s="90" t="s">
        <v>63</v>
      </c>
      <c r="G59" s="90">
        <v>610</v>
      </c>
      <c r="H59" s="89">
        <v>0</v>
      </c>
      <c r="I59" s="89">
        <f>280+140</f>
        <v>420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</row>
    <row r="60" spans="1:14" ht="16.5" customHeight="1">
      <c r="A60" s="132"/>
      <c r="B60" s="132"/>
      <c r="C60" s="132"/>
      <c r="D60" s="140"/>
      <c r="E60" s="105" t="s">
        <v>65</v>
      </c>
      <c r="F60" s="105" t="s">
        <v>66</v>
      </c>
      <c r="G60" s="105">
        <v>620</v>
      </c>
      <c r="H60" s="43">
        <v>600</v>
      </c>
      <c r="I60" s="43">
        <v>600</v>
      </c>
      <c r="J60" s="43">
        <v>0</v>
      </c>
      <c r="K60" s="43">
        <v>600</v>
      </c>
      <c r="L60" s="43">
        <v>600</v>
      </c>
      <c r="M60" s="43">
        <v>600</v>
      </c>
      <c r="N60" s="43">
        <v>600</v>
      </c>
    </row>
    <row r="61" spans="1:15" ht="14.25" customHeight="1">
      <c r="A61" s="131" t="s">
        <v>229</v>
      </c>
      <c r="B61" s="131" t="s">
        <v>239</v>
      </c>
      <c r="C61" s="49" t="s">
        <v>222</v>
      </c>
      <c r="D61" s="105" t="s">
        <v>13</v>
      </c>
      <c r="E61" s="105" t="s">
        <v>13</v>
      </c>
      <c r="F61" s="105" t="s">
        <v>13</v>
      </c>
      <c r="G61" s="105" t="s">
        <v>13</v>
      </c>
      <c r="H61" s="92">
        <f>SUM(H62:H73)</f>
        <v>148058.1</v>
      </c>
      <c r="I61" s="92">
        <f aca="true" t="shared" si="16" ref="I61:N61">SUM(I62:I73)</f>
        <v>147169.2</v>
      </c>
      <c r="J61" s="92">
        <f t="shared" si="16"/>
        <v>101147.1</v>
      </c>
      <c r="K61" s="92">
        <f t="shared" si="16"/>
        <v>60989.899999999994</v>
      </c>
      <c r="L61" s="92">
        <f t="shared" si="16"/>
        <v>60989.899999999994</v>
      </c>
      <c r="M61" s="92">
        <f t="shared" si="16"/>
        <v>60989.899999999994</v>
      </c>
      <c r="N61" s="92">
        <f t="shared" si="16"/>
        <v>60989.899999999994</v>
      </c>
      <c r="O61" s="45"/>
    </row>
    <row r="62" spans="1:15" ht="19.5" customHeight="1">
      <c r="A62" s="133"/>
      <c r="B62" s="133"/>
      <c r="C62" s="131" t="s">
        <v>14</v>
      </c>
      <c r="D62" s="128">
        <v>801</v>
      </c>
      <c r="E62" s="90" t="s">
        <v>171</v>
      </c>
      <c r="F62" s="90" t="s">
        <v>172</v>
      </c>
      <c r="G62" s="90">
        <v>530</v>
      </c>
      <c r="H62" s="89">
        <f>18523+77101</f>
        <v>95624</v>
      </c>
      <c r="I62" s="89">
        <v>74553</v>
      </c>
      <c r="J62" s="89">
        <v>69653</v>
      </c>
      <c r="K62" s="89">
        <v>35035.7</v>
      </c>
      <c r="L62" s="89">
        <v>35035.7</v>
      </c>
      <c r="M62" s="89">
        <v>35035.7</v>
      </c>
      <c r="N62" s="89">
        <v>35035.7</v>
      </c>
      <c r="O62" s="48" t="s">
        <v>194</v>
      </c>
    </row>
    <row r="63" spans="1:15" ht="19.5" customHeight="1">
      <c r="A63" s="133"/>
      <c r="B63" s="133"/>
      <c r="C63" s="133"/>
      <c r="D63" s="129"/>
      <c r="E63" s="90" t="s">
        <v>171</v>
      </c>
      <c r="F63" s="90" t="s">
        <v>76</v>
      </c>
      <c r="G63" s="90">
        <v>520</v>
      </c>
      <c r="H63" s="122">
        <v>18523</v>
      </c>
      <c r="I63" s="89">
        <v>43253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48" t="s">
        <v>193</v>
      </c>
    </row>
    <row r="64" spans="1:15" ht="19.5" customHeight="1">
      <c r="A64" s="133"/>
      <c r="B64" s="133"/>
      <c r="C64" s="133"/>
      <c r="D64" s="129"/>
      <c r="E64" s="90" t="s">
        <v>46</v>
      </c>
      <c r="F64" s="90" t="s">
        <v>170</v>
      </c>
      <c r="G64" s="90">
        <v>540</v>
      </c>
      <c r="H64" s="122">
        <v>4137</v>
      </c>
      <c r="I64" s="89">
        <v>3696</v>
      </c>
      <c r="J64" s="89">
        <v>4117</v>
      </c>
      <c r="K64" s="89">
        <v>3110.7</v>
      </c>
      <c r="L64" s="89">
        <v>3110.7</v>
      </c>
      <c r="M64" s="89">
        <v>3110.7</v>
      </c>
      <c r="N64" s="89">
        <v>3110.7</v>
      </c>
      <c r="O64" s="48" t="s">
        <v>169</v>
      </c>
    </row>
    <row r="65" spans="1:15" ht="19.5" customHeight="1">
      <c r="A65" s="133"/>
      <c r="B65" s="133"/>
      <c r="C65" s="133"/>
      <c r="D65" s="129"/>
      <c r="E65" s="90" t="s">
        <v>46</v>
      </c>
      <c r="F65" s="90" t="s">
        <v>173</v>
      </c>
      <c r="G65" s="90">
        <v>350</v>
      </c>
      <c r="H65" s="89">
        <v>500</v>
      </c>
      <c r="I65" s="89">
        <v>500</v>
      </c>
      <c r="J65" s="89">
        <v>500</v>
      </c>
      <c r="K65" s="89">
        <v>0</v>
      </c>
      <c r="L65" s="89">
        <v>0</v>
      </c>
      <c r="M65" s="89">
        <v>0</v>
      </c>
      <c r="N65" s="89">
        <v>0</v>
      </c>
      <c r="O65" s="48" t="s">
        <v>217</v>
      </c>
    </row>
    <row r="66" spans="1:15" ht="19.5" customHeight="1">
      <c r="A66" s="133"/>
      <c r="B66" s="133"/>
      <c r="C66" s="133"/>
      <c r="D66" s="129"/>
      <c r="E66" s="90" t="s">
        <v>46</v>
      </c>
      <c r="F66" s="90" t="s">
        <v>79</v>
      </c>
      <c r="G66" s="90">
        <v>350</v>
      </c>
      <c r="H66" s="89">
        <v>800</v>
      </c>
      <c r="I66" s="89">
        <v>800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48" t="s">
        <v>218</v>
      </c>
    </row>
    <row r="67" spans="1:15" ht="19.5" customHeight="1">
      <c r="A67" s="133"/>
      <c r="B67" s="133"/>
      <c r="C67" s="133"/>
      <c r="D67" s="129"/>
      <c r="E67" s="90" t="s">
        <v>46</v>
      </c>
      <c r="F67" s="90" t="s">
        <v>80</v>
      </c>
      <c r="G67" s="90">
        <v>350</v>
      </c>
      <c r="H67" s="89">
        <v>0</v>
      </c>
      <c r="I67" s="89">
        <v>600</v>
      </c>
      <c r="J67" s="89">
        <v>0</v>
      </c>
      <c r="K67" s="89">
        <v>600</v>
      </c>
      <c r="L67" s="89">
        <v>600</v>
      </c>
      <c r="M67" s="89">
        <v>600</v>
      </c>
      <c r="N67" s="89">
        <v>600</v>
      </c>
      <c r="O67" s="48" t="s">
        <v>211</v>
      </c>
    </row>
    <row r="68" spans="1:14" ht="19.5" customHeight="1">
      <c r="A68" s="133"/>
      <c r="B68" s="133"/>
      <c r="C68" s="133"/>
      <c r="D68" s="129"/>
      <c r="E68" s="90" t="s">
        <v>31</v>
      </c>
      <c r="F68" s="90" t="s">
        <v>60</v>
      </c>
      <c r="G68" s="90" t="s">
        <v>58</v>
      </c>
      <c r="H68" s="122">
        <v>197.2</v>
      </c>
      <c r="I68" s="89">
        <v>164.3</v>
      </c>
      <c r="J68" s="89">
        <v>0</v>
      </c>
      <c r="K68" s="89">
        <v>0</v>
      </c>
      <c r="L68" s="89">
        <v>0</v>
      </c>
      <c r="M68" s="89">
        <v>0</v>
      </c>
      <c r="N68" s="89">
        <v>0</v>
      </c>
    </row>
    <row r="69" spans="1:15" ht="19.5" customHeight="1">
      <c r="A69" s="133"/>
      <c r="B69" s="133"/>
      <c r="C69" s="133"/>
      <c r="D69" s="129"/>
      <c r="E69" s="90" t="s">
        <v>44</v>
      </c>
      <c r="F69" s="90" t="s">
        <v>176</v>
      </c>
      <c r="G69" s="90">
        <v>240</v>
      </c>
      <c r="H69" s="89">
        <v>0</v>
      </c>
      <c r="I69" s="89">
        <v>0</v>
      </c>
      <c r="J69" s="89">
        <v>2405</v>
      </c>
      <c r="K69" s="89">
        <v>0</v>
      </c>
      <c r="L69" s="89">
        <v>0</v>
      </c>
      <c r="M69" s="89">
        <v>0</v>
      </c>
      <c r="N69" s="89">
        <v>0</v>
      </c>
      <c r="O69" s="93" t="s">
        <v>195</v>
      </c>
    </row>
    <row r="70" spans="1:15" ht="19.5" customHeight="1">
      <c r="A70" s="133"/>
      <c r="B70" s="133"/>
      <c r="C70" s="133"/>
      <c r="D70" s="129"/>
      <c r="E70" s="90" t="s">
        <v>44</v>
      </c>
      <c r="F70" s="90" t="s">
        <v>176</v>
      </c>
      <c r="G70" s="90">
        <v>630</v>
      </c>
      <c r="H70" s="89">
        <v>0</v>
      </c>
      <c r="I70" s="89">
        <v>0</v>
      </c>
      <c r="J70" s="89">
        <v>100</v>
      </c>
      <c r="K70" s="89">
        <v>0</v>
      </c>
      <c r="L70" s="89">
        <v>0</v>
      </c>
      <c r="M70" s="89">
        <v>0</v>
      </c>
      <c r="N70" s="89">
        <v>0</v>
      </c>
      <c r="O70" s="48" t="s">
        <v>179</v>
      </c>
    </row>
    <row r="71" spans="1:15" ht="19.5" customHeight="1">
      <c r="A71" s="133"/>
      <c r="B71" s="133"/>
      <c r="C71" s="133"/>
      <c r="D71" s="129"/>
      <c r="E71" s="90" t="s">
        <v>31</v>
      </c>
      <c r="F71" s="90" t="s">
        <v>176</v>
      </c>
      <c r="G71" s="90">
        <v>320</v>
      </c>
      <c r="H71" s="89">
        <v>880</v>
      </c>
      <c r="I71" s="89">
        <v>800</v>
      </c>
      <c r="J71" s="89">
        <v>900</v>
      </c>
      <c r="K71" s="89">
        <v>0</v>
      </c>
      <c r="L71" s="89">
        <v>0</v>
      </c>
      <c r="M71" s="89">
        <v>0</v>
      </c>
      <c r="N71" s="89">
        <v>0</v>
      </c>
      <c r="O71" s="48" t="s">
        <v>178</v>
      </c>
    </row>
    <row r="72" spans="1:15" ht="19.5" customHeight="1">
      <c r="A72" s="133"/>
      <c r="B72" s="133"/>
      <c r="C72" s="133"/>
      <c r="D72" s="129"/>
      <c r="E72" s="90" t="s">
        <v>31</v>
      </c>
      <c r="F72" s="90" t="s">
        <v>176</v>
      </c>
      <c r="G72" s="90">
        <v>350</v>
      </c>
      <c r="H72" s="89">
        <v>90</v>
      </c>
      <c r="I72" s="89">
        <v>90</v>
      </c>
      <c r="J72" s="89">
        <v>90</v>
      </c>
      <c r="K72" s="89">
        <v>0</v>
      </c>
      <c r="L72" s="89">
        <v>0</v>
      </c>
      <c r="M72" s="89">
        <v>0</v>
      </c>
      <c r="N72" s="89">
        <v>0</v>
      </c>
      <c r="O72" s="48" t="s">
        <v>177</v>
      </c>
    </row>
    <row r="73" spans="1:15" ht="16.5" customHeight="1">
      <c r="A73" s="132"/>
      <c r="B73" s="132"/>
      <c r="C73" s="132"/>
      <c r="D73" s="130"/>
      <c r="E73" s="90" t="s">
        <v>175</v>
      </c>
      <c r="F73" s="90" t="s">
        <v>176</v>
      </c>
      <c r="G73" s="90">
        <v>630</v>
      </c>
      <c r="H73" s="89">
        <v>27306.9</v>
      </c>
      <c r="I73" s="89">
        <v>22712.9</v>
      </c>
      <c r="J73" s="89">
        <v>23382.1</v>
      </c>
      <c r="K73" s="89">
        <v>22243.5</v>
      </c>
      <c r="L73" s="89">
        <v>22243.5</v>
      </c>
      <c r="M73" s="89">
        <v>22243.5</v>
      </c>
      <c r="N73" s="89">
        <v>22243.5</v>
      </c>
      <c r="O73" s="48" t="s">
        <v>174</v>
      </c>
    </row>
    <row r="74" spans="1:14" ht="19.5" customHeight="1" hidden="1">
      <c r="A74" s="131" t="s">
        <v>231</v>
      </c>
      <c r="B74" s="131" t="s">
        <v>240</v>
      </c>
      <c r="C74" s="49" t="s">
        <v>12</v>
      </c>
      <c r="D74" s="105" t="s">
        <v>13</v>
      </c>
      <c r="E74" s="105" t="s">
        <v>13</v>
      </c>
      <c r="F74" s="105" t="s">
        <v>13</v>
      </c>
      <c r="G74" s="105" t="s">
        <v>13</v>
      </c>
      <c r="H74" s="92">
        <f>SUM(H75:H76)</f>
        <v>46430.5</v>
      </c>
      <c r="I74" s="92">
        <f aca="true" t="shared" si="17" ref="I74:N74">SUM(I75:I76)</f>
        <v>41650</v>
      </c>
      <c r="J74" s="92">
        <f t="shared" si="17"/>
        <v>44877.8</v>
      </c>
      <c r="K74" s="92">
        <f t="shared" si="17"/>
        <v>40811.7</v>
      </c>
      <c r="L74" s="92">
        <f t="shared" si="17"/>
        <v>40811.7</v>
      </c>
      <c r="M74" s="92">
        <f t="shared" si="17"/>
        <v>40811.7</v>
      </c>
      <c r="N74" s="92">
        <f t="shared" si="17"/>
        <v>40811.7</v>
      </c>
    </row>
    <row r="75" spans="1:15" ht="60.75" customHeight="1">
      <c r="A75" s="133"/>
      <c r="B75" s="133"/>
      <c r="C75" s="107" t="s">
        <v>14</v>
      </c>
      <c r="D75" s="105">
        <v>801</v>
      </c>
      <c r="E75" s="90" t="s">
        <v>46</v>
      </c>
      <c r="F75" s="90" t="s">
        <v>167</v>
      </c>
      <c r="G75" s="90">
        <v>610</v>
      </c>
      <c r="H75" s="43">
        <f>46380.5</f>
        <v>46380.5</v>
      </c>
      <c r="I75" s="43">
        <v>41650</v>
      </c>
      <c r="J75" s="43">
        <v>44877.8</v>
      </c>
      <c r="K75" s="43">
        <v>40811.7</v>
      </c>
      <c r="L75" s="43">
        <v>40811.7</v>
      </c>
      <c r="M75" s="43">
        <v>40811.7</v>
      </c>
      <c r="N75" s="43">
        <v>40811.7</v>
      </c>
      <c r="O75" s="48" t="s">
        <v>166</v>
      </c>
    </row>
    <row r="76" spans="1:15" ht="57.75" customHeight="1">
      <c r="A76" s="132"/>
      <c r="B76" s="132"/>
      <c r="C76" s="107" t="s">
        <v>20</v>
      </c>
      <c r="D76" s="105">
        <v>814</v>
      </c>
      <c r="E76" s="105" t="s">
        <v>13</v>
      </c>
      <c r="F76" s="105" t="s">
        <v>13</v>
      </c>
      <c r="G76" s="105" t="s">
        <v>13</v>
      </c>
      <c r="H76" s="43">
        <v>50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33"/>
    </row>
    <row r="77" spans="1:15" ht="21" customHeight="1">
      <c r="A77" s="131" t="s">
        <v>232</v>
      </c>
      <c r="B77" s="131" t="s">
        <v>241</v>
      </c>
      <c r="C77" s="49" t="s">
        <v>222</v>
      </c>
      <c r="D77" s="105" t="s">
        <v>13</v>
      </c>
      <c r="E77" s="105" t="s">
        <v>13</v>
      </c>
      <c r="F77" s="105" t="s">
        <v>13</v>
      </c>
      <c r="G77" s="105" t="s">
        <v>13</v>
      </c>
      <c r="H77" s="123">
        <f aca="true" t="shared" si="18" ref="H77:N77">SUM(H78:H79)</f>
        <v>502928.08793</v>
      </c>
      <c r="I77" s="109">
        <f t="shared" si="18"/>
        <v>261427.96321999998</v>
      </c>
      <c r="J77" s="109">
        <f t="shared" si="18"/>
        <v>104183.9</v>
      </c>
      <c r="K77" s="109">
        <f t="shared" si="18"/>
        <v>0</v>
      </c>
      <c r="L77" s="109">
        <f t="shared" si="18"/>
        <v>0</v>
      </c>
      <c r="M77" s="109">
        <f t="shared" si="18"/>
        <v>0</v>
      </c>
      <c r="N77" s="109">
        <f t="shared" si="18"/>
        <v>0</v>
      </c>
      <c r="O77" s="33"/>
    </row>
    <row r="78" spans="1:14" ht="53.25" customHeight="1">
      <c r="A78" s="133"/>
      <c r="B78" s="133"/>
      <c r="C78" s="102" t="s">
        <v>14</v>
      </c>
      <c r="D78" s="105">
        <v>801</v>
      </c>
      <c r="E78" s="105" t="s">
        <v>13</v>
      </c>
      <c r="F78" s="105" t="s">
        <v>13</v>
      </c>
      <c r="G78" s="105" t="s">
        <v>13</v>
      </c>
      <c r="H78" s="43">
        <f>H81+H83+H84+H85+H86+H90+H91</f>
        <v>502928.08793</v>
      </c>
      <c r="I78" s="43">
        <f aca="true" t="shared" si="19" ref="I78:N78">I81+I83+I84+I85+I86+I90+I91</f>
        <v>230685.46321999998</v>
      </c>
      <c r="J78" s="43">
        <f t="shared" si="19"/>
        <v>53876.4</v>
      </c>
      <c r="K78" s="43">
        <f t="shared" si="19"/>
        <v>0</v>
      </c>
      <c r="L78" s="43">
        <f t="shared" si="19"/>
        <v>0</v>
      </c>
      <c r="M78" s="43">
        <f t="shared" si="19"/>
        <v>0</v>
      </c>
      <c r="N78" s="43">
        <f t="shared" si="19"/>
        <v>0</v>
      </c>
    </row>
    <row r="79" spans="1:17" s="48" customFormat="1" ht="73.5" customHeight="1">
      <c r="A79" s="133"/>
      <c r="B79" s="133"/>
      <c r="C79" s="107" t="s">
        <v>200</v>
      </c>
      <c r="D79" s="110">
        <v>811</v>
      </c>
      <c r="E79" s="105" t="s">
        <v>13</v>
      </c>
      <c r="F79" s="105" t="s">
        <v>13</v>
      </c>
      <c r="G79" s="105" t="s">
        <v>13</v>
      </c>
      <c r="H79" s="43">
        <f>H87+H88</f>
        <v>0</v>
      </c>
      <c r="I79" s="43">
        <f aca="true" t="shared" si="20" ref="I79:N79">I87+I88</f>
        <v>30742.5</v>
      </c>
      <c r="J79" s="43">
        <f t="shared" si="20"/>
        <v>50307.5</v>
      </c>
      <c r="K79" s="43">
        <f t="shared" si="20"/>
        <v>0</v>
      </c>
      <c r="L79" s="43">
        <f t="shared" si="20"/>
        <v>0</v>
      </c>
      <c r="M79" s="43">
        <f t="shared" si="20"/>
        <v>0</v>
      </c>
      <c r="N79" s="43">
        <f t="shared" si="20"/>
        <v>0</v>
      </c>
      <c r="P79" s="45"/>
      <c r="Q79" s="45"/>
    </row>
    <row r="80" spans="1:17" s="48" customFormat="1" ht="17.25" customHeight="1">
      <c r="A80" s="131" t="s">
        <v>242</v>
      </c>
      <c r="B80" s="131" t="s">
        <v>244</v>
      </c>
      <c r="C80" s="49" t="s">
        <v>222</v>
      </c>
      <c r="D80" s="105" t="s">
        <v>13</v>
      </c>
      <c r="E80" s="105" t="s">
        <v>13</v>
      </c>
      <c r="F80" s="105" t="s">
        <v>13</v>
      </c>
      <c r="G80" s="105" t="s">
        <v>13</v>
      </c>
      <c r="H80" s="109">
        <f>SUM(H81)</f>
        <v>0</v>
      </c>
      <c r="I80" s="109">
        <f aca="true" t="shared" si="21" ref="I80:N80">SUM(I81)</f>
        <v>0</v>
      </c>
      <c r="J80" s="109">
        <f t="shared" si="21"/>
        <v>0</v>
      </c>
      <c r="K80" s="109">
        <f t="shared" si="21"/>
        <v>0</v>
      </c>
      <c r="L80" s="109">
        <f t="shared" si="21"/>
        <v>0</v>
      </c>
      <c r="M80" s="109">
        <f t="shared" si="21"/>
        <v>0</v>
      </c>
      <c r="N80" s="109">
        <f t="shared" si="21"/>
        <v>0</v>
      </c>
      <c r="P80" s="45"/>
      <c r="Q80" s="45"/>
    </row>
    <row r="81" spans="1:17" s="48" customFormat="1" ht="51.75" customHeight="1">
      <c r="A81" s="132"/>
      <c r="B81" s="132"/>
      <c r="C81" s="107" t="s">
        <v>14</v>
      </c>
      <c r="D81" s="103">
        <v>801</v>
      </c>
      <c r="E81" s="105" t="s">
        <v>13</v>
      </c>
      <c r="F81" s="105" t="s">
        <v>13</v>
      </c>
      <c r="G81" s="105" t="s">
        <v>13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P81" s="45"/>
      <c r="Q81" s="45"/>
    </row>
    <row r="82" spans="1:15" ht="21" customHeight="1">
      <c r="A82" s="131" t="s">
        <v>243</v>
      </c>
      <c r="B82" s="131" t="s">
        <v>245</v>
      </c>
      <c r="C82" s="49" t="s">
        <v>222</v>
      </c>
      <c r="D82" s="105" t="s">
        <v>13</v>
      </c>
      <c r="E82" s="105" t="s">
        <v>13</v>
      </c>
      <c r="F82" s="105" t="s">
        <v>13</v>
      </c>
      <c r="G82" s="105" t="s">
        <v>13</v>
      </c>
      <c r="H82" s="109">
        <f aca="true" t="shared" si="22" ref="H82:N82">SUM(H83:H88)</f>
        <v>479398.78793</v>
      </c>
      <c r="I82" s="109">
        <f t="shared" si="22"/>
        <v>236014.96321999998</v>
      </c>
      <c r="J82" s="109">
        <f t="shared" si="22"/>
        <v>104183.9</v>
      </c>
      <c r="K82" s="109">
        <f t="shared" si="22"/>
        <v>0</v>
      </c>
      <c r="L82" s="109">
        <f t="shared" si="22"/>
        <v>0</v>
      </c>
      <c r="M82" s="109">
        <f t="shared" si="22"/>
        <v>0</v>
      </c>
      <c r="N82" s="109">
        <f t="shared" si="22"/>
        <v>0</v>
      </c>
      <c r="O82" s="33"/>
    </row>
    <row r="83" spans="1:16" ht="29.25" customHeight="1">
      <c r="A83" s="133"/>
      <c r="B83" s="133"/>
      <c r="C83" s="131" t="s">
        <v>14</v>
      </c>
      <c r="D83" s="141">
        <v>801</v>
      </c>
      <c r="E83" s="105" t="s">
        <v>38</v>
      </c>
      <c r="F83" s="105" t="s">
        <v>168</v>
      </c>
      <c r="G83" s="105">
        <v>410</v>
      </c>
      <c r="H83" s="43">
        <v>450493</v>
      </c>
      <c r="I83" s="43">
        <f>17222.96322+161699.36+26350.14</f>
        <v>205272.46321999998</v>
      </c>
      <c r="J83" s="43">
        <v>53876.4</v>
      </c>
      <c r="K83" s="43">
        <v>0</v>
      </c>
      <c r="L83" s="43">
        <v>0</v>
      </c>
      <c r="M83" s="43">
        <v>0</v>
      </c>
      <c r="N83" s="43">
        <v>0</v>
      </c>
      <c r="O83" s="48" t="s">
        <v>211</v>
      </c>
      <c r="P83" s="46">
        <f>H83+H84+H90</f>
        <v>473736.98503</v>
      </c>
    </row>
    <row r="84" spans="1:15" ht="25.5" customHeight="1">
      <c r="A84" s="133"/>
      <c r="B84" s="133"/>
      <c r="C84" s="133"/>
      <c r="D84" s="141"/>
      <c r="E84" s="105" t="s">
        <v>38</v>
      </c>
      <c r="F84" s="105" t="s">
        <v>57</v>
      </c>
      <c r="G84" s="105">
        <v>520</v>
      </c>
      <c r="H84" s="43">
        <v>1142.68503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8" t="s">
        <v>211</v>
      </c>
    </row>
    <row r="85" spans="1:17" s="48" customFormat="1" ht="26.25" customHeight="1">
      <c r="A85" s="133"/>
      <c r="B85" s="133"/>
      <c r="C85" s="133"/>
      <c r="D85" s="141"/>
      <c r="E85" s="105" t="s">
        <v>38</v>
      </c>
      <c r="F85" s="105" t="s">
        <v>55</v>
      </c>
      <c r="G85" s="105">
        <v>520</v>
      </c>
      <c r="H85" s="121">
        <v>401.6029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8" t="s">
        <v>212</v>
      </c>
      <c r="P85" s="46">
        <f>H85+H86+H91</f>
        <v>29191.1029</v>
      </c>
      <c r="Q85" s="45"/>
    </row>
    <row r="86" spans="1:17" s="48" customFormat="1" ht="25.5" customHeight="1">
      <c r="A86" s="133"/>
      <c r="B86" s="133"/>
      <c r="C86" s="133"/>
      <c r="D86" s="141"/>
      <c r="E86" s="105" t="s">
        <v>38</v>
      </c>
      <c r="F86" s="105" t="s">
        <v>69</v>
      </c>
      <c r="G86" s="105">
        <v>520</v>
      </c>
      <c r="H86" s="43">
        <f>14107.5+13254</f>
        <v>27361.5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8" t="s">
        <v>212</v>
      </c>
      <c r="P86" s="46">
        <f>P83+P85</f>
        <v>502928.08793</v>
      </c>
      <c r="Q86" s="45"/>
    </row>
    <row r="87" spans="1:17" s="48" customFormat="1" ht="20.25" customHeight="1">
      <c r="A87" s="133"/>
      <c r="B87" s="133"/>
      <c r="C87" s="142" t="s">
        <v>200</v>
      </c>
      <c r="D87" s="144">
        <v>811</v>
      </c>
      <c r="E87" s="105" t="s">
        <v>38</v>
      </c>
      <c r="F87" s="105" t="s">
        <v>67</v>
      </c>
      <c r="G87" s="105">
        <v>410</v>
      </c>
      <c r="H87" s="43">
        <v>0</v>
      </c>
      <c r="I87" s="43">
        <v>30742.5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P87" s="45"/>
      <c r="Q87" s="45"/>
    </row>
    <row r="88" spans="1:17" s="48" customFormat="1" ht="50.25" customHeight="1">
      <c r="A88" s="132"/>
      <c r="B88" s="132"/>
      <c r="C88" s="142"/>
      <c r="D88" s="140"/>
      <c r="E88" s="105" t="s">
        <v>38</v>
      </c>
      <c r="F88" s="105" t="s">
        <v>168</v>
      </c>
      <c r="G88" s="105">
        <v>410</v>
      </c>
      <c r="H88" s="43">
        <v>0</v>
      </c>
      <c r="I88" s="43">
        <v>0</v>
      </c>
      <c r="J88" s="43">
        <v>50307.5</v>
      </c>
      <c r="K88" s="43">
        <v>0</v>
      </c>
      <c r="L88" s="43">
        <v>0</v>
      </c>
      <c r="M88" s="43">
        <v>0</v>
      </c>
      <c r="N88" s="43">
        <v>0</v>
      </c>
      <c r="P88" s="46">
        <f>H77-'Приложение 5'!E63</f>
        <v>12074.971039999975</v>
      </c>
      <c r="Q88" s="45"/>
    </row>
    <row r="89" spans="1:15" ht="21" customHeight="1">
      <c r="A89" s="131" t="s">
        <v>246</v>
      </c>
      <c r="B89" s="131" t="s">
        <v>247</v>
      </c>
      <c r="C89" s="49" t="s">
        <v>222</v>
      </c>
      <c r="D89" s="105" t="s">
        <v>13</v>
      </c>
      <c r="E89" s="105" t="s">
        <v>13</v>
      </c>
      <c r="F89" s="105" t="s">
        <v>13</v>
      </c>
      <c r="G89" s="105" t="s">
        <v>13</v>
      </c>
      <c r="H89" s="109">
        <f aca="true" t="shared" si="23" ref="H89:N89">SUM(H90:H91)</f>
        <v>23529.3</v>
      </c>
      <c r="I89" s="109">
        <f t="shared" si="23"/>
        <v>25413</v>
      </c>
      <c r="J89" s="109">
        <f t="shared" si="23"/>
        <v>0</v>
      </c>
      <c r="K89" s="109">
        <f t="shared" si="23"/>
        <v>0</v>
      </c>
      <c r="L89" s="109">
        <f t="shared" si="23"/>
        <v>0</v>
      </c>
      <c r="M89" s="109">
        <f t="shared" si="23"/>
        <v>0</v>
      </c>
      <c r="N89" s="109">
        <f t="shared" si="23"/>
        <v>0</v>
      </c>
      <c r="O89" s="33"/>
    </row>
    <row r="90" spans="1:17" s="48" customFormat="1" ht="24" customHeight="1">
      <c r="A90" s="133"/>
      <c r="B90" s="133"/>
      <c r="C90" s="133" t="s">
        <v>14</v>
      </c>
      <c r="D90" s="141">
        <v>801</v>
      </c>
      <c r="E90" s="105" t="s">
        <v>46</v>
      </c>
      <c r="F90" s="105" t="s">
        <v>126</v>
      </c>
      <c r="G90" s="105">
        <v>520</v>
      </c>
      <c r="H90" s="43">
        <v>22101.3</v>
      </c>
      <c r="I90" s="43">
        <v>25413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8" t="s">
        <v>213</v>
      </c>
      <c r="P90" s="45"/>
      <c r="Q90" s="45"/>
    </row>
    <row r="91" spans="1:17" s="48" customFormat="1" ht="21" customHeight="1">
      <c r="A91" s="133"/>
      <c r="B91" s="132"/>
      <c r="C91" s="132"/>
      <c r="D91" s="141"/>
      <c r="E91" s="105" t="s">
        <v>46</v>
      </c>
      <c r="F91" s="105" t="s">
        <v>72</v>
      </c>
      <c r="G91" s="105">
        <v>520</v>
      </c>
      <c r="H91" s="43">
        <v>1428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8" t="s">
        <v>212</v>
      </c>
      <c r="P91" s="45"/>
      <c r="Q91" s="45"/>
    </row>
    <row r="92" spans="1:17" s="48" customFormat="1" ht="20.25" customHeight="1">
      <c r="A92" s="131" t="s">
        <v>234</v>
      </c>
      <c r="B92" s="131" t="s">
        <v>248</v>
      </c>
      <c r="C92" s="49" t="s">
        <v>222</v>
      </c>
      <c r="D92" s="105" t="s">
        <v>13</v>
      </c>
      <c r="E92" s="105" t="s">
        <v>13</v>
      </c>
      <c r="F92" s="105" t="s">
        <v>13</v>
      </c>
      <c r="G92" s="105" t="s">
        <v>13</v>
      </c>
      <c r="H92" s="109">
        <f>SUM(H93)</f>
        <v>0</v>
      </c>
      <c r="I92" s="109">
        <f aca="true" t="shared" si="24" ref="I92:N92">SUM(I93)</f>
        <v>0</v>
      </c>
      <c r="J92" s="109">
        <f t="shared" si="24"/>
        <v>0</v>
      </c>
      <c r="K92" s="109">
        <f t="shared" si="24"/>
        <v>0</v>
      </c>
      <c r="L92" s="109">
        <f t="shared" si="24"/>
        <v>0</v>
      </c>
      <c r="M92" s="109">
        <f t="shared" si="24"/>
        <v>0</v>
      </c>
      <c r="N92" s="109">
        <f t="shared" si="24"/>
        <v>0</v>
      </c>
      <c r="P92" s="45"/>
      <c r="Q92" s="45"/>
    </row>
    <row r="93" spans="1:17" s="48" customFormat="1" ht="89.25" customHeight="1">
      <c r="A93" s="132"/>
      <c r="B93" s="132"/>
      <c r="C93" s="107" t="s">
        <v>14</v>
      </c>
      <c r="D93" s="103">
        <v>801</v>
      </c>
      <c r="E93" s="105" t="s">
        <v>13</v>
      </c>
      <c r="F93" s="105" t="s">
        <v>13</v>
      </c>
      <c r="G93" s="105" t="s">
        <v>13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P93" s="45"/>
      <c r="Q93" s="45"/>
    </row>
    <row r="94" spans="1:14" ht="61.5" customHeight="1">
      <c r="A94" s="135" t="s">
        <v>81</v>
      </c>
      <c r="B94" s="135" t="s">
        <v>210</v>
      </c>
      <c r="C94" s="120" t="s">
        <v>222</v>
      </c>
      <c r="D94" s="94" t="s">
        <v>13</v>
      </c>
      <c r="E94" s="105" t="s">
        <v>13</v>
      </c>
      <c r="F94" s="105" t="s">
        <v>13</v>
      </c>
      <c r="G94" s="105" t="s">
        <v>13</v>
      </c>
      <c r="H94" s="109">
        <f aca="true" t="shared" si="25" ref="H94:N94">H95</f>
        <v>31981.2</v>
      </c>
      <c r="I94" s="109">
        <f t="shared" si="25"/>
        <v>39388.6</v>
      </c>
      <c r="J94" s="109">
        <f t="shared" si="25"/>
        <v>47770.700000000004</v>
      </c>
      <c r="K94" s="109">
        <f t="shared" si="25"/>
        <v>17000</v>
      </c>
      <c r="L94" s="109">
        <f t="shared" si="25"/>
        <v>17000</v>
      </c>
      <c r="M94" s="109">
        <f t="shared" si="25"/>
        <v>17000</v>
      </c>
      <c r="N94" s="109">
        <f t="shared" si="25"/>
        <v>17000</v>
      </c>
    </row>
    <row r="95" spans="1:15" s="52" customFormat="1" ht="60.75" customHeight="1">
      <c r="A95" s="136"/>
      <c r="B95" s="136"/>
      <c r="C95" s="49" t="s">
        <v>14</v>
      </c>
      <c r="D95" s="105">
        <v>801</v>
      </c>
      <c r="E95" s="105" t="s">
        <v>13</v>
      </c>
      <c r="F95" s="105" t="s">
        <v>13</v>
      </c>
      <c r="G95" s="105" t="s">
        <v>13</v>
      </c>
      <c r="H95" s="43">
        <f aca="true" t="shared" si="26" ref="H95:N95">H97+H98</f>
        <v>31981.2</v>
      </c>
      <c r="I95" s="43">
        <f t="shared" si="26"/>
        <v>39388.6</v>
      </c>
      <c r="J95" s="43">
        <f t="shared" si="26"/>
        <v>47770.700000000004</v>
      </c>
      <c r="K95" s="43">
        <f t="shared" si="26"/>
        <v>17000</v>
      </c>
      <c r="L95" s="43">
        <f t="shared" si="26"/>
        <v>17000</v>
      </c>
      <c r="M95" s="43">
        <f t="shared" si="26"/>
        <v>17000</v>
      </c>
      <c r="N95" s="43">
        <f t="shared" si="26"/>
        <v>17000</v>
      </c>
      <c r="O95" s="51"/>
    </row>
    <row r="96" spans="1:15" s="52" customFormat="1" ht="15" customHeight="1">
      <c r="A96" s="142" t="s">
        <v>233</v>
      </c>
      <c r="B96" s="142" t="s">
        <v>249</v>
      </c>
      <c r="C96" s="49" t="s">
        <v>222</v>
      </c>
      <c r="D96" s="94" t="s">
        <v>13</v>
      </c>
      <c r="E96" s="116" t="s">
        <v>13</v>
      </c>
      <c r="F96" s="116" t="s">
        <v>13</v>
      </c>
      <c r="G96" s="116" t="s">
        <v>13</v>
      </c>
      <c r="H96" s="109">
        <f>SUM(H97:H98)</f>
        <v>31981.2</v>
      </c>
      <c r="I96" s="109">
        <f aca="true" t="shared" si="27" ref="I96:N96">SUM(I97:I98)</f>
        <v>39388.6</v>
      </c>
      <c r="J96" s="109">
        <f t="shared" si="27"/>
        <v>47770.700000000004</v>
      </c>
      <c r="K96" s="109">
        <f t="shared" si="27"/>
        <v>17000</v>
      </c>
      <c r="L96" s="109">
        <f t="shared" si="27"/>
        <v>17000</v>
      </c>
      <c r="M96" s="109">
        <f t="shared" si="27"/>
        <v>17000</v>
      </c>
      <c r="N96" s="109">
        <f t="shared" si="27"/>
        <v>17000</v>
      </c>
      <c r="O96" s="51"/>
    </row>
    <row r="97" spans="1:14" ht="45" customHeight="1">
      <c r="A97" s="142"/>
      <c r="B97" s="142"/>
      <c r="C97" s="115" t="s">
        <v>14</v>
      </c>
      <c r="D97" s="116">
        <v>801</v>
      </c>
      <c r="E97" s="116" t="s">
        <v>31</v>
      </c>
      <c r="F97" s="116" t="s">
        <v>180</v>
      </c>
      <c r="G97" s="116">
        <v>620</v>
      </c>
      <c r="H97" s="43">
        <v>8981.2</v>
      </c>
      <c r="I97" s="43">
        <v>8652.4</v>
      </c>
      <c r="J97" s="43">
        <v>6957.4</v>
      </c>
      <c r="K97" s="43">
        <v>0</v>
      </c>
      <c r="L97" s="43">
        <v>0</v>
      </c>
      <c r="M97" s="43">
        <v>0</v>
      </c>
      <c r="N97" s="43">
        <v>0</v>
      </c>
    </row>
    <row r="98" spans="1:14" ht="59.25" customHeight="1">
      <c r="A98" s="142"/>
      <c r="B98" s="142"/>
      <c r="C98" s="115" t="s">
        <v>14</v>
      </c>
      <c r="D98" s="116">
        <v>801</v>
      </c>
      <c r="E98" s="116" t="s">
        <v>31</v>
      </c>
      <c r="F98" s="116" t="s">
        <v>181</v>
      </c>
      <c r="G98" s="116">
        <v>620</v>
      </c>
      <c r="H98" s="43">
        <f>20700+2300</f>
        <v>23000</v>
      </c>
      <c r="I98" s="43">
        <f>27620.6+3115.6</f>
        <v>30736.199999999997</v>
      </c>
      <c r="J98" s="43">
        <v>40813.3</v>
      </c>
      <c r="K98" s="43">
        <v>17000</v>
      </c>
      <c r="L98" s="43">
        <v>17000</v>
      </c>
      <c r="M98" s="43">
        <v>17000</v>
      </c>
      <c r="N98" s="43">
        <v>17000</v>
      </c>
    </row>
    <row r="99" spans="1:14" ht="15" customHeight="1">
      <c r="A99" s="128" t="s">
        <v>182</v>
      </c>
      <c r="B99" s="142" t="s">
        <v>192</v>
      </c>
      <c r="C99" s="91" t="s">
        <v>83</v>
      </c>
      <c r="D99" s="94" t="s">
        <v>13</v>
      </c>
      <c r="E99" s="116" t="s">
        <v>13</v>
      </c>
      <c r="F99" s="116" t="s">
        <v>13</v>
      </c>
      <c r="G99" s="116" t="s">
        <v>13</v>
      </c>
      <c r="H99" s="109">
        <f aca="true" t="shared" si="28" ref="H99:N99">SUM(H100:H102)</f>
        <v>0</v>
      </c>
      <c r="I99" s="109">
        <f t="shared" si="28"/>
        <v>0</v>
      </c>
      <c r="J99" s="109">
        <f t="shared" si="28"/>
        <v>86851.1</v>
      </c>
      <c r="K99" s="109">
        <f t="shared" si="28"/>
        <v>0</v>
      </c>
      <c r="L99" s="109">
        <f t="shared" si="28"/>
        <v>0</v>
      </c>
      <c r="M99" s="109">
        <f t="shared" si="28"/>
        <v>0</v>
      </c>
      <c r="N99" s="109">
        <f t="shared" si="28"/>
        <v>0</v>
      </c>
    </row>
    <row r="100" spans="1:15" ht="25.5">
      <c r="A100" s="129"/>
      <c r="B100" s="142"/>
      <c r="C100" s="143"/>
      <c r="D100" s="90">
        <v>801</v>
      </c>
      <c r="E100" s="90" t="s">
        <v>31</v>
      </c>
      <c r="F100" s="90" t="s">
        <v>183</v>
      </c>
      <c r="G100" s="116" t="s">
        <v>184</v>
      </c>
      <c r="H100" s="89">
        <v>0</v>
      </c>
      <c r="I100" s="89">
        <v>0</v>
      </c>
      <c r="J100" s="89">
        <f>26982.3+2725.8+125.7</f>
        <v>29833.8</v>
      </c>
      <c r="K100" s="89">
        <v>0</v>
      </c>
      <c r="L100" s="89">
        <v>0</v>
      </c>
      <c r="M100" s="89">
        <v>0</v>
      </c>
      <c r="N100" s="89">
        <v>0</v>
      </c>
      <c r="O100" s="48" t="s">
        <v>185</v>
      </c>
    </row>
    <row r="101" spans="1:15" ht="12.75">
      <c r="A101" s="129"/>
      <c r="B101" s="142"/>
      <c r="C101" s="143"/>
      <c r="D101" s="90">
        <v>801</v>
      </c>
      <c r="E101" s="90" t="s">
        <v>31</v>
      </c>
      <c r="F101" s="90" t="s">
        <v>186</v>
      </c>
      <c r="G101" s="90" t="s">
        <v>187</v>
      </c>
      <c r="H101" s="89">
        <v>0</v>
      </c>
      <c r="I101" s="89">
        <v>0</v>
      </c>
      <c r="J101" s="89">
        <f>4427.8+426.1</f>
        <v>4853.900000000001</v>
      </c>
      <c r="K101" s="89">
        <v>0</v>
      </c>
      <c r="L101" s="89">
        <v>0</v>
      </c>
      <c r="M101" s="89">
        <v>0</v>
      </c>
      <c r="N101" s="89">
        <v>0</v>
      </c>
      <c r="O101" s="48" t="s">
        <v>188</v>
      </c>
    </row>
    <row r="102" spans="1:15" ht="24.75" customHeight="1">
      <c r="A102" s="130"/>
      <c r="B102" s="142"/>
      <c r="C102" s="143"/>
      <c r="D102" s="90">
        <v>801</v>
      </c>
      <c r="E102" s="90" t="s">
        <v>31</v>
      </c>
      <c r="F102" s="90" t="s">
        <v>189</v>
      </c>
      <c r="G102" s="116" t="s">
        <v>190</v>
      </c>
      <c r="H102" s="89">
        <v>0</v>
      </c>
      <c r="I102" s="89">
        <v>0</v>
      </c>
      <c r="J102" s="89">
        <f>32565.7+19375.6+222.1</f>
        <v>52163.4</v>
      </c>
      <c r="K102" s="89">
        <v>0</v>
      </c>
      <c r="L102" s="89">
        <v>0</v>
      </c>
      <c r="M102" s="89">
        <v>0</v>
      </c>
      <c r="N102" s="89">
        <v>0</v>
      </c>
      <c r="O102" s="48" t="s">
        <v>191</v>
      </c>
    </row>
    <row r="103" spans="1:14" ht="12.75">
      <c r="A103" s="91"/>
      <c r="B103" s="27"/>
      <c r="C103" s="91"/>
      <c r="D103" s="91"/>
      <c r="E103" s="91"/>
      <c r="F103" s="91"/>
      <c r="G103" s="91"/>
      <c r="H103" s="95"/>
      <c r="I103" s="91"/>
      <c r="J103" s="3"/>
      <c r="K103" s="3"/>
      <c r="L103" s="95"/>
      <c r="M103" s="95"/>
      <c r="N103" s="95"/>
    </row>
    <row r="105" spans="9:11" ht="12.75">
      <c r="I105" s="46"/>
      <c r="J105" s="46"/>
      <c r="K105" s="46"/>
    </row>
    <row r="106" spans="10:11" ht="12.75">
      <c r="J106" s="111">
        <f>J99+J7</f>
        <v>6933046.899999999</v>
      </c>
      <c r="K106" s="46"/>
    </row>
    <row r="107" ht="12.75">
      <c r="K107" s="46"/>
    </row>
    <row r="108" ht="12.75">
      <c r="K108" s="46"/>
    </row>
    <row r="109" ht="12.75">
      <c r="K109" s="46"/>
    </row>
  </sheetData>
  <sheetProtection/>
  <mergeCells count="80">
    <mergeCell ref="A89:A91"/>
    <mergeCell ref="C20:C24"/>
    <mergeCell ref="D20:D24"/>
    <mergeCell ref="B39:B44"/>
    <mergeCell ref="C40:C44"/>
    <mergeCell ref="D40:D44"/>
    <mergeCell ref="A27:A28"/>
    <mergeCell ref="A74:A76"/>
    <mergeCell ref="A82:A88"/>
    <mergeCell ref="B82:B88"/>
    <mergeCell ref="A96:A98"/>
    <mergeCell ref="B96:B98"/>
    <mergeCell ref="N47:N48"/>
    <mergeCell ref="M47:M48"/>
    <mergeCell ref="C46:C60"/>
    <mergeCell ref="D46:D60"/>
    <mergeCell ref="C90:C91"/>
    <mergeCell ref="D62:D73"/>
    <mergeCell ref="A61:A73"/>
    <mergeCell ref="B61:B73"/>
    <mergeCell ref="K1:N1"/>
    <mergeCell ref="B2:N2"/>
    <mergeCell ref="M13:M14"/>
    <mergeCell ref="N13:N14"/>
    <mergeCell ref="K13:K14"/>
    <mergeCell ref="B13:B18"/>
    <mergeCell ref="D13:D14"/>
    <mergeCell ref="H4:N4"/>
    <mergeCell ref="I13:I14"/>
    <mergeCell ref="J13:J14"/>
    <mergeCell ref="A19:A26"/>
    <mergeCell ref="B19:B26"/>
    <mergeCell ref="K47:K48"/>
    <mergeCell ref="L47:L48"/>
    <mergeCell ref="C13:C14"/>
    <mergeCell ref="L13:L14"/>
    <mergeCell ref="H13:H14"/>
    <mergeCell ref="E13:E14"/>
    <mergeCell ref="A39:A44"/>
    <mergeCell ref="B27:B28"/>
    <mergeCell ref="A4:A5"/>
    <mergeCell ref="B4:B5"/>
    <mergeCell ref="C4:C5"/>
    <mergeCell ref="D4:G4"/>
    <mergeCell ref="F13:F14"/>
    <mergeCell ref="G13:G14"/>
    <mergeCell ref="A13:A18"/>
    <mergeCell ref="A7:A12"/>
    <mergeCell ref="B7:B12"/>
    <mergeCell ref="B74:B76"/>
    <mergeCell ref="A77:A79"/>
    <mergeCell ref="B77:B79"/>
    <mergeCell ref="A80:A81"/>
    <mergeCell ref="C62:C73"/>
    <mergeCell ref="B80:B81"/>
    <mergeCell ref="B92:B93"/>
    <mergeCell ref="B89:B91"/>
    <mergeCell ref="D83:D86"/>
    <mergeCell ref="C87:C88"/>
    <mergeCell ref="C100:C102"/>
    <mergeCell ref="B99:B102"/>
    <mergeCell ref="D90:D91"/>
    <mergeCell ref="D87:D88"/>
    <mergeCell ref="C83:C86"/>
    <mergeCell ref="J47:J48"/>
    <mergeCell ref="E47:E48"/>
    <mergeCell ref="F47:F48"/>
    <mergeCell ref="G47:G48"/>
    <mergeCell ref="A45:A60"/>
    <mergeCell ref="B45:B60"/>
    <mergeCell ref="A99:A102"/>
    <mergeCell ref="A29:A30"/>
    <mergeCell ref="B29:B30"/>
    <mergeCell ref="A31:A33"/>
    <mergeCell ref="B31:B33"/>
    <mergeCell ref="A34:A38"/>
    <mergeCell ref="B34:B38"/>
    <mergeCell ref="A94:A95"/>
    <mergeCell ref="B94:B95"/>
    <mergeCell ref="A92:A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rowBreaks count="3" manualBreakCount="3">
    <brk id="19" max="13" man="1"/>
    <brk id="38" max="13" man="1"/>
    <brk id="7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86"/>
  <sheetViews>
    <sheetView view="pageBreakPreview" zoomScale="87" zoomScaleSheetLayoutView="87" zoomScalePageLayoutView="0" workbookViewId="0" topLeftCell="A58">
      <selection activeCell="H62" sqref="H62"/>
    </sheetView>
  </sheetViews>
  <sheetFormatPr defaultColWidth="9.140625" defaultRowHeight="15"/>
  <cols>
    <col min="1" max="1" width="13.28125" style="6" customWidth="1"/>
    <col min="2" max="2" width="36.8515625" style="5" customWidth="1"/>
    <col min="3" max="3" width="23.28125" style="6" customWidth="1"/>
    <col min="4" max="7" width="9.28125" style="6" bestFit="1" customWidth="1"/>
    <col min="8" max="8" width="11.8515625" style="7" customWidth="1"/>
    <col min="9" max="9" width="13.57421875" style="6" customWidth="1"/>
    <col min="10" max="10" width="11.28125" style="8" customWidth="1"/>
    <col min="11" max="11" width="11.140625" style="8" customWidth="1"/>
    <col min="12" max="12" width="11.7109375" style="7" customWidth="1"/>
    <col min="13" max="13" width="11.140625" style="7" customWidth="1"/>
    <col min="14" max="14" width="11.7109375" style="7" customWidth="1"/>
    <col min="15" max="15" width="10.00390625" style="16" bestFit="1" customWidth="1"/>
    <col min="16" max="17" width="11.140625" style="6" bestFit="1" customWidth="1"/>
    <col min="18" max="16384" width="9.140625" style="6" customWidth="1"/>
  </cols>
  <sheetData>
    <row r="1" spans="11:14" ht="15" customHeight="1">
      <c r="K1" s="153" t="s">
        <v>113</v>
      </c>
      <c r="L1" s="154"/>
      <c r="M1" s="154"/>
      <c r="N1" s="154"/>
    </row>
    <row r="2" spans="2:14" ht="25.5" customHeight="1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ht="13.5" thickBot="1"/>
    <row r="4" spans="1:14" ht="108.75" customHeight="1">
      <c r="A4" s="157" t="s">
        <v>1</v>
      </c>
      <c r="B4" s="159" t="s">
        <v>2</v>
      </c>
      <c r="C4" s="152" t="s">
        <v>3</v>
      </c>
      <c r="D4" s="152" t="s">
        <v>4</v>
      </c>
      <c r="E4" s="152"/>
      <c r="F4" s="152"/>
      <c r="G4" s="152"/>
      <c r="H4" s="152" t="s">
        <v>5</v>
      </c>
      <c r="I4" s="152"/>
      <c r="J4" s="152"/>
      <c r="K4" s="152"/>
      <c r="L4" s="152"/>
      <c r="M4" s="152"/>
      <c r="N4" s="152"/>
    </row>
    <row r="5" spans="1:16" ht="21.75" customHeight="1" thickBot="1">
      <c r="A5" s="158"/>
      <c r="B5" s="160"/>
      <c r="C5" s="152"/>
      <c r="D5" s="2" t="s">
        <v>6</v>
      </c>
      <c r="E5" s="2" t="s">
        <v>7</v>
      </c>
      <c r="F5" s="2" t="s">
        <v>8</v>
      </c>
      <c r="G5" s="2" t="s">
        <v>9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P5" s="7"/>
    </row>
    <row r="6" spans="1:14" ht="13.5" thickBot="1">
      <c r="A6" s="17">
        <v>1</v>
      </c>
      <c r="B6" s="18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4" ht="12.75">
      <c r="A7" s="162" t="s">
        <v>10</v>
      </c>
      <c r="B7" s="164" t="s">
        <v>11</v>
      </c>
      <c r="C7" s="19" t="s">
        <v>12</v>
      </c>
      <c r="D7" s="2" t="s">
        <v>13</v>
      </c>
      <c r="E7" s="2" t="s">
        <v>13</v>
      </c>
      <c r="F7" s="2" t="s">
        <v>13</v>
      </c>
      <c r="G7" s="2" t="s">
        <v>13</v>
      </c>
      <c r="H7" s="36">
        <f>H8+H12+H13+H14+H15</f>
        <v>7509925.2197900005</v>
      </c>
      <c r="I7" s="36">
        <f aca="true" t="shared" si="0" ref="I7:N7">I8+I12+I13+I14+I15</f>
        <v>6819704.76322</v>
      </c>
      <c r="J7" s="36">
        <f t="shared" si="0"/>
        <v>6561522.500000001</v>
      </c>
      <c r="K7" s="36">
        <f t="shared" si="0"/>
        <v>5715693.300000001</v>
      </c>
      <c r="L7" s="36">
        <f t="shared" si="0"/>
        <v>5715693.300000001</v>
      </c>
      <c r="M7" s="36">
        <f t="shared" si="0"/>
        <v>5715693.300000001</v>
      </c>
      <c r="N7" s="36">
        <f t="shared" si="0"/>
        <v>5715693.300000001</v>
      </c>
    </row>
    <row r="8" spans="1:15" ht="36.75" customHeight="1">
      <c r="A8" s="163"/>
      <c r="B8" s="165"/>
      <c r="C8" s="19" t="s">
        <v>14</v>
      </c>
      <c r="D8" s="2">
        <v>801</v>
      </c>
      <c r="E8" s="2" t="s">
        <v>13</v>
      </c>
      <c r="F8" s="2" t="s">
        <v>13</v>
      </c>
      <c r="G8" s="2" t="s">
        <v>13</v>
      </c>
      <c r="H8" s="1">
        <f>H9</f>
        <v>7402590.119790001</v>
      </c>
      <c r="I8" s="1">
        <f aca="true" t="shared" si="1" ref="I8:N8">I9</f>
        <v>6693495.36322</v>
      </c>
      <c r="J8" s="1">
        <f t="shared" si="1"/>
        <v>6412053.200000001</v>
      </c>
      <c r="K8" s="1">
        <f t="shared" si="1"/>
        <v>5625325.9</v>
      </c>
      <c r="L8" s="1">
        <f t="shared" si="1"/>
        <v>5625325.9</v>
      </c>
      <c r="M8" s="1">
        <f t="shared" si="1"/>
        <v>5625325.9</v>
      </c>
      <c r="N8" s="1">
        <f t="shared" si="1"/>
        <v>5625325.9</v>
      </c>
      <c r="O8" s="20"/>
    </row>
    <row r="9" spans="1:17" ht="25.5">
      <c r="A9" s="163"/>
      <c r="B9" s="165"/>
      <c r="C9" s="19" t="s">
        <v>15</v>
      </c>
      <c r="D9" s="2">
        <v>801</v>
      </c>
      <c r="E9" s="2" t="s">
        <v>13</v>
      </c>
      <c r="F9" s="2" t="s">
        <v>13</v>
      </c>
      <c r="G9" s="2" t="s">
        <v>13</v>
      </c>
      <c r="H9" s="1">
        <f>H18+H34+H84</f>
        <v>7402590.119790001</v>
      </c>
      <c r="I9" s="1">
        <f aca="true" t="shared" si="2" ref="I9:N9">I18+I34+I84</f>
        <v>6693495.36322</v>
      </c>
      <c r="J9" s="1">
        <f t="shared" si="2"/>
        <v>6412053.200000001</v>
      </c>
      <c r="K9" s="1">
        <f t="shared" si="2"/>
        <v>5625325.9</v>
      </c>
      <c r="L9" s="1">
        <f t="shared" si="2"/>
        <v>5625325.9</v>
      </c>
      <c r="M9" s="1">
        <f t="shared" si="2"/>
        <v>5625325.9</v>
      </c>
      <c r="N9" s="1">
        <f t="shared" si="2"/>
        <v>5625325.9</v>
      </c>
      <c r="P9" s="7"/>
      <c r="Q9" s="7"/>
    </row>
    <row r="10" spans="1:14" ht="102" customHeight="1" hidden="1">
      <c r="A10" s="163"/>
      <c r="B10" s="165"/>
      <c r="C10" s="19" t="s">
        <v>16</v>
      </c>
      <c r="D10" s="2">
        <v>801</v>
      </c>
      <c r="E10" s="2" t="s">
        <v>13</v>
      </c>
      <c r="F10" s="2" t="s">
        <v>13</v>
      </c>
      <c r="G10" s="2" t="s">
        <v>13</v>
      </c>
      <c r="H10" s="14">
        <v>33194</v>
      </c>
      <c r="I10" s="14">
        <f>27281.3+2747.6+113.7</f>
        <v>30142.6</v>
      </c>
      <c r="J10" s="14">
        <f>27670.7+2556.2+113.7</f>
        <v>30340.600000000002</v>
      </c>
      <c r="K10" s="14">
        <v>30340.600000000002</v>
      </c>
      <c r="L10" s="14">
        <v>30340.600000000002</v>
      </c>
      <c r="M10" s="14">
        <v>30340.600000000002</v>
      </c>
      <c r="N10" s="14">
        <v>30340.600000000002</v>
      </c>
    </row>
    <row r="11" spans="1:14" ht="96.75" customHeight="1" hidden="1">
      <c r="A11" s="163"/>
      <c r="B11" s="165"/>
      <c r="C11" s="19" t="s">
        <v>17</v>
      </c>
      <c r="D11" s="2">
        <v>801</v>
      </c>
      <c r="E11" s="2" t="s">
        <v>13</v>
      </c>
      <c r="F11" s="2" t="s">
        <v>13</v>
      </c>
      <c r="G11" s="2" t="s">
        <v>13</v>
      </c>
      <c r="H11" s="14">
        <v>8323.9</v>
      </c>
      <c r="I11" s="14">
        <f>5446.4+457.4</f>
        <v>5903.799999999999</v>
      </c>
      <c r="J11" s="14">
        <f>6009.8+411.3</f>
        <v>6421.1</v>
      </c>
      <c r="K11" s="14">
        <f>6121.8+821.1</f>
        <v>6942.900000000001</v>
      </c>
      <c r="L11" s="14">
        <f>6121.8+821.1</f>
        <v>6942.900000000001</v>
      </c>
      <c r="M11" s="14">
        <f>6121.8+821.1</f>
        <v>6942.900000000001</v>
      </c>
      <c r="N11" s="14">
        <f>6121.8+821.1</f>
        <v>6942.900000000001</v>
      </c>
    </row>
    <row r="12" spans="1:14" ht="51">
      <c r="A12" s="163"/>
      <c r="B12" s="165"/>
      <c r="C12" s="19" t="s">
        <v>18</v>
      </c>
      <c r="D12" s="2">
        <v>800</v>
      </c>
      <c r="E12" s="2" t="s">
        <v>13</v>
      </c>
      <c r="F12" s="2" t="s">
        <v>13</v>
      </c>
      <c r="G12" s="2" t="s">
        <v>13</v>
      </c>
      <c r="H12" s="1">
        <f aca="true" t="shared" si="3" ref="H12:N13">H19</f>
        <v>50689.1</v>
      </c>
      <c r="I12" s="1">
        <f t="shared" si="3"/>
        <v>41269.9</v>
      </c>
      <c r="J12" s="1">
        <f t="shared" si="3"/>
        <v>48308.8</v>
      </c>
      <c r="K12" s="1">
        <f t="shared" si="3"/>
        <v>39514.4</v>
      </c>
      <c r="L12" s="1">
        <f t="shared" si="3"/>
        <v>39514.4</v>
      </c>
      <c r="M12" s="1">
        <f t="shared" si="3"/>
        <v>39514.4</v>
      </c>
      <c r="N12" s="1">
        <f t="shared" si="3"/>
        <v>39514.4</v>
      </c>
    </row>
    <row r="13" spans="1:14" ht="25.5">
      <c r="A13" s="163"/>
      <c r="B13" s="165"/>
      <c r="C13" s="19" t="s">
        <v>19</v>
      </c>
      <c r="D13" s="2">
        <v>802</v>
      </c>
      <c r="E13" s="2" t="s">
        <v>13</v>
      </c>
      <c r="F13" s="2" t="s">
        <v>13</v>
      </c>
      <c r="G13" s="2" t="s">
        <v>13</v>
      </c>
      <c r="H13" s="1">
        <f t="shared" si="3"/>
        <v>56596</v>
      </c>
      <c r="I13" s="1">
        <f t="shared" si="3"/>
        <v>54197</v>
      </c>
      <c r="J13" s="1">
        <f t="shared" si="3"/>
        <v>50853</v>
      </c>
      <c r="K13" s="1">
        <f t="shared" si="3"/>
        <v>50853</v>
      </c>
      <c r="L13" s="1">
        <f t="shared" si="3"/>
        <v>50853</v>
      </c>
      <c r="M13" s="1">
        <f t="shared" si="3"/>
        <v>50853</v>
      </c>
      <c r="N13" s="1">
        <f t="shared" si="3"/>
        <v>50853</v>
      </c>
    </row>
    <row r="14" spans="1:14" ht="51">
      <c r="A14" s="163"/>
      <c r="B14" s="165"/>
      <c r="C14" s="19" t="s">
        <v>20</v>
      </c>
      <c r="D14" s="2">
        <v>814</v>
      </c>
      <c r="E14" s="2" t="s">
        <v>13</v>
      </c>
      <c r="F14" s="2" t="s">
        <v>13</v>
      </c>
      <c r="G14" s="2" t="s">
        <v>13</v>
      </c>
      <c r="H14" s="1">
        <f aca="true" t="shared" si="4" ref="H14:N14">H36</f>
        <v>50</v>
      </c>
      <c r="I14" s="2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</row>
    <row r="15" spans="1:14" ht="67.5" customHeight="1">
      <c r="A15" s="163"/>
      <c r="B15" s="165"/>
      <c r="C15" s="19" t="s">
        <v>21</v>
      </c>
      <c r="D15" s="2">
        <v>811</v>
      </c>
      <c r="E15" s="2" t="s">
        <v>13</v>
      </c>
      <c r="F15" s="2" t="s">
        <v>13</v>
      </c>
      <c r="G15" s="2" t="s">
        <v>13</v>
      </c>
      <c r="H15" s="1">
        <f aca="true" t="shared" si="5" ref="H15:N15">H21+H37</f>
        <v>0</v>
      </c>
      <c r="I15" s="2">
        <f t="shared" si="5"/>
        <v>30742.5</v>
      </c>
      <c r="J15" s="1">
        <f t="shared" si="5"/>
        <v>50307.5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</row>
    <row r="16" spans="1:15" s="23" customFormat="1" ht="12.75" customHeight="1">
      <c r="A16" s="152" t="s">
        <v>22</v>
      </c>
      <c r="B16" s="166" t="s">
        <v>23</v>
      </c>
      <c r="C16" s="21" t="s">
        <v>24</v>
      </c>
      <c r="D16" s="152" t="s">
        <v>13</v>
      </c>
      <c r="E16" s="152" t="s">
        <v>13</v>
      </c>
      <c r="F16" s="152" t="s">
        <v>13</v>
      </c>
      <c r="G16" s="152" t="s">
        <v>13</v>
      </c>
      <c r="H16" s="161">
        <f aca="true" t="shared" si="6" ref="H16:N16">H18+H19+H20+H21</f>
        <v>875406.1</v>
      </c>
      <c r="I16" s="161">
        <f t="shared" si="6"/>
        <v>745416.4</v>
      </c>
      <c r="J16" s="161">
        <f t="shared" si="6"/>
        <v>857700.3</v>
      </c>
      <c r="K16" s="161">
        <f t="shared" si="6"/>
        <v>723327.5000000001</v>
      </c>
      <c r="L16" s="161">
        <f t="shared" si="6"/>
        <v>723327.5000000001</v>
      </c>
      <c r="M16" s="161">
        <f t="shared" si="6"/>
        <v>723327.5000000001</v>
      </c>
      <c r="N16" s="161">
        <f t="shared" si="6"/>
        <v>723327.5000000001</v>
      </c>
      <c r="O16" s="22"/>
    </row>
    <row r="17" spans="1:14" ht="15" customHeight="1">
      <c r="A17" s="152"/>
      <c r="B17" s="166"/>
      <c r="C17" s="19" t="s">
        <v>25</v>
      </c>
      <c r="D17" s="152"/>
      <c r="E17" s="152"/>
      <c r="F17" s="152"/>
      <c r="G17" s="152"/>
      <c r="H17" s="161"/>
      <c r="I17" s="161"/>
      <c r="J17" s="161"/>
      <c r="K17" s="161"/>
      <c r="L17" s="161"/>
      <c r="M17" s="161"/>
      <c r="N17" s="161"/>
    </row>
    <row r="18" spans="1:14" ht="40.5" customHeight="1">
      <c r="A18" s="152"/>
      <c r="B18" s="166"/>
      <c r="C18" s="19" t="s">
        <v>14</v>
      </c>
      <c r="D18" s="2">
        <v>801</v>
      </c>
      <c r="E18" s="2" t="s">
        <v>13</v>
      </c>
      <c r="F18" s="2" t="s">
        <v>13</v>
      </c>
      <c r="G18" s="2" t="s">
        <v>13</v>
      </c>
      <c r="H18" s="1">
        <f aca="true" t="shared" si="7" ref="H18:N18">H22+H23+H24+H25+H26+H29+H30+H31</f>
        <v>768121</v>
      </c>
      <c r="I18" s="1">
        <f t="shared" si="7"/>
        <v>649949.5</v>
      </c>
      <c r="J18" s="1">
        <f t="shared" si="7"/>
        <v>758538.5</v>
      </c>
      <c r="K18" s="1">
        <f t="shared" si="7"/>
        <v>632960.1000000001</v>
      </c>
      <c r="L18" s="1">
        <f t="shared" si="7"/>
        <v>632960.1000000001</v>
      </c>
      <c r="M18" s="1">
        <f t="shared" si="7"/>
        <v>632960.1000000001</v>
      </c>
      <c r="N18" s="1">
        <f t="shared" si="7"/>
        <v>632960.1000000001</v>
      </c>
    </row>
    <row r="19" spans="1:14" ht="51">
      <c r="A19" s="152"/>
      <c r="B19" s="166"/>
      <c r="C19" s="19" t="s">
        <v>18</v>
      </c>
      <c r="D19" s="2">
        <v>800</v>
      </c>
      <c r="E19" s="2" t="s">
        <v>13</v>
      </c>
      <c r="F19" s="2" t="s">
        <v>13</v>
      </c>
      <c r="G19" s="2" t="s">
        <v>13</v>
      </c>
      <c r="H19" s="1">
        <v>50689.1</v>
      </c>
      <c r="I19" s="1">
        <v>41269.9</v>
      </c>
      <c r="J19" s="1">
        <v>48308.8</v>
      </c>
      <c r="K19" s="1">
        <v>39514.4</v>
      </c>
      <c r="L19" s="1">
        <v>39514.4</v>
      </c>
      <c r="M19" s="1">
        <v>39514.4</v>
      </c>
      <c r="N19" s="1">
        <v>39514.4</v>
      </c>
    </row>
    <row r="20" spans="1:14" ht="25.5">
      <c r="A20" s="152"/>
      <c r="B20" s="166"/>
      <c r="C20" s="19" t="s">
        <v>19</v>
      </c>
      <c r="D20" s="2">
        <v>802</v>
      </c>
      <c r="E20" s="2" t="s">
        <v>13</v>
      </c>
      <c r="F20" s="2" t="s">
        <v>13</v>
      </c>
      <c r="G20" s="2" t="s">
        <v>13</v>
      </c>
      <c r="H20" s="1">
        <v>56596</v>
      </c>
      <c r="I20" s="1">
        <v>54197</v>
      </c>
      <c r="J20" s="1">
        <v>50853</v>
      </c>
      <c r="K20" s="1">
        <v>50853</v>
      </c>
      <c r="L20" s="1">
        <v>50853</v>
      </c>
      <c r="M20" s="1">
        <v>50853</v>
      </c>
      <c r="N20" s="1">
        <v>50853</v>
      </c>
    </row>
    <row r="21" spans="1:14" ht="66" customHeight="1">
      <c r="A21" s="152"/>
      <c r="B21" s="166"/>
      <c r="C21" s="24" t="s">
        <v>21</v>
      </c>
      <c r="D21" s="13">
        <v>811</v>
      </c>
      <c r="E21" s="2" t="s">
        <v>13</v>
      </c>
      <c r="F21" s="2" t="s">
        <v>13</v>
      </c>
      <c r="G21" s="2" t="s">
        <v>13</v>
      </c>
      <c r="H21" s="1">
        <f aca="true" t="shared" si="8" ref="H21:N21">H32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8"/>
        <v>0</v>
      </c>
      <c r="M21" s="1">
        <f t="shared" si="8"/>
        <v>0</v>
      </c>
      <c r="N21" s="1">
        <f t="shared" si="8"/>
        <v>0</v>
      </c>
    </row>
    <row r="22" spans="1:14" ht="57.75" customHeight="1">
      <c r="A22" s="163" t="s">
        <v>114</v>
      </c>
      <c r="B22" s="165" t="s">
        <v>86</v>
      </c>
      <c r="C22" s="169" t="s">
        <v>14</v>
      </c>
      <c r="D22" s="149">
        <v>801</v>
      </c>
      <c r="E22" s="2" t="s">
        <v>26</v>
      </c>
      <c r="F22" s="2" t="s">
        <v>27</v>
      </c>
      <c r="G22" s="2">
        <v>610</v>
      </c>
      <c r="H22" s="1">
        <f>330548.4-18.75</f>
        <v>330529.65</v>
      </c>
      <c r="I22" s="2">
        <f>259311.1-35</f>
        <v>259276.1</v>
      </c>
      <c r="J22" s="1">
        <v>301855.5</v>
      </c>
      <c r="K22" s="1">
        <v>252744.7</v>
      </c>
      <c r="L22" s="1">
        <v>252744.7</v>
      </c>
      <c r="M22" s="1">
        <v>252744.7</v>
      </c>
      <c r="N22" s="1">
        <v>252744.7</v>
      </c>
    </row>
    <row r="23" spans="1:14" ht="58.5" customHeight="1">
      <c r="A23" s="163"/>
      <c r="B23" s="165"/>
      <c r="C23" s="170"/>
      <c r="D23" s="150"/>
      <c r="E23" s="2" t="s">
        <v>26</v>
      </c>
      <c r="F23" s="2" t="s">
        <v>27</v>
      </c>
      <c r="G23" s="2">
        <v>620</v>
      </c>
      <c r="H23" s="1">
        <f>435899.8-155.375</f>
        <v>435744.425</v>
      </c>
      <c r="I23" s="2">
        <f>389039.4-20</f>
        <v>389019.4</v>
      </c>
      <c r="J23" s="1">
        <v>455883</v>
      </c>
      <c r="K23" s="1">
        <v>380215.4</v>
      </c>
      <c r="L23" s="1">
        <v>380215.4</v>
      </c>
      <c r="M23" s="1">
        <v>380215.4</v>
      </c>
      <c r="N23" s="1">
        <v>380215.4</v>
      </c>
    </row>
    <row r="24" spans="1:14" ht="46.5" customHeight="1">
      <c r="A24" s="163"/>
      <c r="B24" s="165"/>
      <c r="C24" s="170"/>
      <c r="D24" s="150"/>
      <c r="E24" s="2" t="s">
        <v>26</v>
      </c>
      <c r="F24" s="2" t="s">
        <v>28</v>
      </c>
      <c r="G24" s="2" t="s">
        <v>29</v>
      </c>
      <c r="H24" s="1">
        <v>174.125</v>
      </c>
      <c r="I24" s="2">
        <f>95+20+35</f>
        <v>150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49.5" customHeight="1">
      <c r="A25" s="163"/>
      <c r="B25" s="165"/>
      <c r="C25" s="170"/>
      <c r="D25" s="150"/>
      <c r="E25" s="2" t="s">
        <v>26</v>
      </c>
      <c r="F25" s="2" t="s">
        <v>30</v>
      </c>
      <c r="G25" s="2">
        <v>340</v>
      </c>
      <c r="H25" s="1">
        <v>832.8</v>
      </c>
      <c r="I25" s="2">
        <v>704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45" customHeight="1">
      <c r="A26" s="163"/>
      <c r="B26" s="165"/>
      <c r="C26" s="171"/>
      <c r="D26" s="151"/>
      <c r="E26" s="2" t="s">
        <v>31</v>
      </c>
      <c r="F26" s="2" t="s">
        <v>32</v>
      </c>
      <c r="G26" s="2">
        <v>340</v>
      </c>
      <c r="H26" s="1">
        <v>840</v>
      </c>
      <c r="I26" s="2">
        <v>800</v>
      </c>
      <c r="J26" s="1">
        <v>800</v>
      </c>
      <c r="K26" s="1">
        <v>0</v>
      </c>
      <c r="L26" s="1">
        <v>0</v>
      </c>
      <c r="M26" s="1">
        <v>0</v>
      </c>
      <c r="N26" s="1">
        <v>0</v>
      </c>
    </row>
    <row r="27" spans="1:14" ht="88.5" customHeight="1">
      <c r="A27" s="163"/>
      <c r="B27" s="165"/>
      <c r="C27" s="19" t="s">
        <v>18</v>
      </c>
      <c r="D27" s="2">
        <v>800</v>
      </c>
      <c r="E27" s="2" t="s">
        <v>26</v>
      </c>
      <c r="F27" s="2" t="s">
        <v>33</v>
      </c>
      <c r="G27" s="2">
        <v>620</v>
      </c>
      <c r="H27" s="1">
        <v>50689.1</v>
      </c>
      <c r="I27" s="10">
        <v>41269</v>
      </c>
      <c r="J27" s="1">
        <v>48308.8</v>
      </c>
      <c r="K27" s="1">
        <v>39514.4</v>
      </c>
      <c r="L27" s="1">
        <v>39514.4</v>
      </c>
      <c r="M27" s="1">
        <v>39514.4</v>
      </c>
      <c r="N27" s="1">
        <v>39514.4</v>
      </c>
    </row>
    <row r="28" spans="1:14" ht="66" customHeight="1" thickBot="1">
      <c r="A28" s="167"/>
      <c r="B28" s="168"/>
      <c r="C28" s="19" t="s">
        <v>19</v>
      </c>
      <c r="D28" s="2">
        <v>802</v>
      </c>
      <c r="E28" s="2" t="s">
        <v>26</v>
      </c>
      <c r="F28" s="2" t="s">
        <v>34</v>
      </c>
      <c r="G28" s="2">
        <v>610</v>
      </c>
      <c r="H28" s="1">
        <v>56596</v>
      </c>
      <c r="I28" s="11">
        <v>54197</v>
      </c>
      <c r="J28" s="1">
        <v>50853</v>
      </c>
      <c r="K28" s="1">
        <v>50853</v>
      </c>
      <c r="L28" s="1">
        <v>50853</v>
      </c>
      <c r="M28" s="1">
        <v>50853</v>
      </c>
      <c r="N28" s="1">
        <v>50853</v>
      </c>
    </row>
    <row r="29" spans="1:14" ht="213" customHeight="1" thickBot="1">
      <c r="A29" s="25" t="s">
        <v>115</v>
      </c>
      <c r="B29" s="26" t="s">
        <v>87</v>
      </c>
      <c r="C29" s="24" t="s">
        <v>14</v>
      </c>
      <c r="D29" s="13">
        <v>801</v>
      </c>
      <c r="E29" s="13" t="s">
        <v>13</v>
      </c>
      <c r="F29" s="13" t="s">
        <v>13</v>
      </c>
      <c r="G29" s="13" t="s">
        <v>13</v>
      </c>
      <c r="H29" s="12">
        <v>0</v>
      </c>
      <c r="I29" s="13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279.75" customHeight="1">
      <c r="A30" s="25" t="s">
        <v>116</v>
      </c>
      <c r="B30" s="27" t="s">
        <v>88</v>
      </c>
      <c r="C30" s="19" t="s">
        <v>14</v>
      </c>
      <c r="D30" s="2">
        <v>801</v>
      </c>
      <c r="E30" s="2" t="s">
        <v>13</v>
      </c>
      <c r="F30" s="2" t="s">
        <v>13</v>
      </c>
      <c r="G30" s="2" t="s">
        <v>13</v>
      </c>
      <c r="H30" s="1">
        <v>0</v>
      </c>
      <c r="I30" s="2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7.25" customHeight="1">
      <c r="A31" s="38" t="s">
        <v>125</v>
      </c>
      <c r="B31" s="174" t="s">
        <v>89</v>
      </c>
      <c r="C31" s="19" t="s">
        <v>14</v>
      </c>
      <c r="D31" s="2">
        <v>801</v>
      </c>
      <c r="E31" s="2" t="s">
        <v>13</v>
      </c>
      <c r="F31" s="2" t="s">
        <v>13</v>
      </c>
      <c r="G31" s="2" t="s">
        <v>13</v>
      </c>
      <c r="H31" s="1">
        <v>0</v>
      </c>
      <c r="I31" s="2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66.75" customHeight="1" thickBot="1">
      <c r="A32" s="28"/>
      <c r="B32" s="175"/>
      <c r="C32" s="29" t="s">
        <v>21</v>
      </c>
      <c r="D32" s="13">
        <v>811</v>
      </c>
      <c r="E32" s="2" t="s">
        <v>26</v>
      </c>
      <c r="F32" s="2" t="s">
        <v>35</v>
      </c>
      <c r="G32" s="2">
        <v>414</v>
      </c>
      <c r="H32" s="1">
        <v>0</v>
      </c>
      <c r="I32" s="15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2.75">
      <c r="A33" s="162" t="s">
        <v>36</v>
      </c>
      <c r="B33" s="164" t="s">
        <v>37</v>
      </c>
      <c r="C33" s="19" t="s">
        <v>12</v>
      </c>
      <c r="D33" s="2" t="s">
        <v>13</v>
      </c>
      <c r="E33" s="2" t="s">
        <v>13</v>
      </c>
      <c r="F33" s="2" t="s">
        <v>13</v>
      </c>
      <c r="G33" s="2" t="s">
        <v>13</v>
      </c>
      <c r="H33" s="14">
        <f aca="true" t="shared" si="9" ref="H33:N33">H34+H35+H36+H37</f>
        <v>6602537.919790001</v>
      </c>
      <c r="I33" s="14">
        <f t="shared" si="9"/>
        <v>6034899.76322</v>
      </c>
      <c r="J33" s="14">
        <f t="shared" si="9"/>
        <v>5686822.200000001</v>
      </c>
      <c r="K33" s="14">
        <f t="shared" si="9"/>
        <v>4975365.8</v>
      </c>
      <c r="L33" s="14">
        <f t="shared" si="9"/>
        <v>4975365.8</v>
      </c>
      <c r="M33" s="14">
        <f t="shared" si="9"/>
        <v>4975365.8</v>
      </c>
      <c r="N33" s="14">
        <f t="shared" si="9"/>
        <v>4975365.8</v>
      </c>
    </row>
    <row r="34" spans="1:16" ht="45" customHeight="1">
      <c r="A34" s="163"/>
      <c r="B34" s="165"/>
      <c r="C34" s="19" t="s">
        <v>14</v>
      </c>
      <c r="D34" s="2">
        <v>801</v>
      </c>
      <c r="E34" s="2" t="s">
        <v>13</v>
      </c>
      <c r="F34" s="2" t="s">
        <v>13</v>
      </c>
      <c r="G34" s="2" t="s">
        <v>13</v>
      </c>
      <c r="H34" s="14">
        <f>H38+H39+H40+H41+H42+H43+H44+H45+H46+H47+H48+H49+H50+H51+H52+H53+H54+H55+H57+H58+H56+H59+H60+H62+H63+H64+H65+H66+H67+H68+H69+H73+H74+H75+H76+H77+H78+H79+H80+H81+H82</f>
        <v>6602487.919790001</v>
      </c>
      <c r="I34" s="14">
        <f aca="true" t="shared" si="10" ref="I34:N34">I38+I39+I40+I41+I42+I43+I44+I45+I46+I47+I48+I49+I50+I51+I52+I53+I54+I55+I57+I58+I59+I56+I60+I62+I63+I64+I65+I66+I67+I68+I69+I73+I74+I75+I76+I77+I78+I79+I80+I81+I82</f>
        <v>6004157.26322</v>
      </c>
      <c r="J34" s="14">
        <f t="shared" si="10"/>
        <v>5636514.700000001</v>
      </c>
      <c r="K34" s="14">
        <f t="shared" si="10"/>
        <v>4975365.8</v>
      </c>
      <c r="L34" s="14">
        <f t="shared" si="10"/>
        <v>4975365.8</v>
      </c>
      <c r="M34" s="14">
        <f t="shared" si="10"/>
        <v>4975365.8</v>
      </c>
      <c r="N34" s="14">
        <f t="shared" si="10"/>
        <v>4975365.8</v>
      </c>
      <c r="P34" s="7"/>
    </row>
    <row r="35" spans="1:14" ht="25.5">
      <c r="A35" s="163"/>
      <c r="B35" s="165"/>
      <c r="C35" s="19" t="s">
        <v>19</v>
      </c>
      <c r="D35" s="2">
        <v>802</v>
      </c>
      <c r="E35" s="2" t="s">
        <v>13</v>
      </c>
      <c r="F35" s="2" t="s">
        <v>13</v>
      </c>
      <c r="G35" s="2" t="s">
        <v>13</v>
      </c>
      <c r="H35" s="1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51">
      <c r="A36" s="163"/>
      <c r="B36" s="165"/>
      <c r="C36" s="19" t="s">
        <v>20</v>
      </c>
      <c r="D36" s="2">
        <v>814</v>
      </c>
      <c r="E36" s="2" t="s">
        <v>13</v>
      </c>
      <c r="F36" s="2" t="s">
        <v>13</v>
      </c>
      <c r="G36" s="2" t="s">
        <v>13</v>
      </c>
      <c r="H36" s="1">
        <v>50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63.75">
      <c r="A37" s="163"/>
      <c r="B37" s="165"/>
      <c r="C37" s="19" t="s">
        <v>21</v>
      </c>
      <c r="D37" s="2">
        <v>811</v>
      </c>
      <c r="E37" s="2" t="s">
        <v>13</v>
      </c>
      <c r="F37" s="2" t="s">
        <v>13</v>
      </c>
      <c r="G37" s="2" t="s">
        <v>13</v>
      </c>
      <c r="H37" s="1">
        <f aca="true" t="shared" si="11" ref="H37:N37">H70+H71+H72</f>
        <v>0</v>
      </c>
      <c r="I37" s="2">
        <f t="shared" si="11"/>
        <v>30742.5</v>
      </c>
      <c r="J37" s="1">
        <f t="shared" si="11"/>
        <v>50307.5</v>
      </c>
      <c r="K37" s="1">
        <f t="shared" si="11"/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</row>
    <row r="38" spans="1:14" ht="113.25" customHeight="1">
      <c r="A38" s="149" t="s">
        <v>117</v>
      </c>
      <c r="B38" s="176" t="s">
        <v>90</v>
      </c>
      <c r="C38" s="169" t="s">
        <v>14</v>
      </c>
      <c r="D38" s="149">
        <v>801</v>
      </c>
      <c r="E38" s="2" t="s">
        <v>38</v>
      </c>
      <c r="F38" s="2" t="s">
        <v>39</v>
      </c>
      <c r="G38" s="2">
        <v>630</v>
      </c>
      <c r="H38" s="1">
        <v>34710</v>
      </c>
      <c r="I38" s="1">
        <v>32983.5</v>
      </c>
      <c r="J38" s="1">
        <v>32983.5</v>
      </c>
      <c r="K38" s="1">
        <v>32983.5</v>
      </c>
      <c r="L38" s="1">
        <v>32983.5</v>
      </c>
      <c r="M38" s="1">
        <v>32983.5</v>
      </c>
      <c r="N38" s="1">
        <v>32983.5</v>
      </c>
    </row>
    <row r="39" spans="1:14" ht="96.75" customHeight="1">
      <c r="A39" s="150"/>
      <c r="B39" s="177"/>
      <c r="C39" s="170"/>
      <c r="D39" s="150"/>
      <c r="E39" s="2" t="s">
        <v>38</v>
      </c>
      <c r="F39" s="2" t="s">
        <v>40</v>
      </c>
      <c r="G39" s="2">
        <v>530</v>
      </c>
      <c r="H39" s="1">
        <v>1222524</v>
      </c>
      <c r="I39" s="1">
        <v>1347826</v>
      </c>
      <c r="J39" s="1">
        <v>1286506.4</v>
      </c>
      <c r="K39" s="1">
        <v>1140055</v>
      </c>
      <c r="L39" s="1">
        <v>1140055</v>
      </c>
      <c r="M39" s="1">
        <v>1140055</v>
      </c>
      <c r="N39" s="1">
        <v>1140055</v>
      </c>
    </row>
    <row r="40" spans="1:14" ht="83.25" customHeight="1">
      <c r="A40" s="150"/>
      <c r="B40" s="177"/>
      <c r="C40" s="170"/>
      <c r="D40" s="150"/>
      <c r="E40" s="2" t="s">
        <v>38</v>
      </c>
      <c r="F40" s="2" t="s">
        <v>41</v>
      </c>
      <c r="G40" s="2">
        <v>520</v>
      </c>
      <c r="H40" s="1">
        <v>15377</v>
      </c>
      <c r="I40" s="1">
        <v>15821</v>
      </c>
      <c r="J40" s="1">
        <v>15025.7</v>
      </c>
      <c r="K40" s="1">
        <v>13315.2</v>
      </c>
      <c r="L40" s="1">
        <v>13315.2</v>
      </c>
      <c r="M40" s="1">
        <v>13315.2</v>
      </c>
      <c r="N40" s="1">
        <v>13315.2</v>
      </c>
    </row>
    <row r="41" spans="1:14" ht="48" customHeight="1">
      <c r="A41" s="150"/>
      <c r="B41" s="177"/>
      <c r="C41" s="170"/>
      <c r="D41" s="150"/>
      <c r="E41" s="2" t="s">
        <v>42</v>
      </c>
      <c r="F41" s="2" t="s">
        <v>43</v>
      </c>
      <c r="G41" s="2">
        <v>530</v>
      </c>
      <c r="H41" s="1">
        <v>183821</v>
      </c>
      <c r="I41" s="1">
        <v>196000</v>
      </c>
      <c r="J41" s="1">
        <v>186147.5</v>
      </c>
      <c r="K41" s="1">
        <v>164957.1</v>
      </c>
      <c r="L41" s="1">
        <v>164957.1</v>
      </c>
      <c r="M41" s="1">
        <v>164957.1</v>
      </c>
      <c r="N41" s="1">
        <v>164957.1</v>
      </c>
    </row>
    <row r="42" spans="1:14" ht="30.75" customHeight="1">
      <c r="A42" s="151"/>
      <c r="B42" s="178"/>
      <c r="C42" s="171"/>
      <c r="D42" s="151"/>
      <c r="E42" s="2" t="s">
        <v>44</v>
      </c>
      <c r="F42" s="2" t="s">
        <v>45</v>
      </c>
      <c r="G42" s="2">
        <v>242</v>
      </c>
      <c r="H42" s="1">
        <v>3045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45" customHeight="1">
      <c r="A43" s="169" t="s">
        <v>118</v>
      </c>
      <c r="B43" s="174" t="s">
        <v>109</v>
      </c>
      <c r="C43" s="169" t="s">
        <v>14</v>
      </c>
      <c r="D43" s="149">
        <v>801</v>
      </c>
      <c r="E43" s="2" t="s">
        <v>46</v>
      </c>
      <c r="F43" s="2" t="s">
        <v>47</v>
      </c>
      <c r="G43" s="2">
        <v>520</v>
      </c>
      <c r="H43" s="1">
        <v>33.33186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ht="39" customHeight="1">
      <c r="A44" s="170"/>
      <c r="B44" s="175"/>
      <c r="C44" s="170"/>
      <c r="D44" s="150"/>
      <c r="E44" s="2" t="s">
        <v>46</v>
      </c>
      <c r="F44" s="2" t="s">
        <v>48</v>
      </c>
      <c r="G44" s="2" t="s">
        <v>49</v>
      </c>
      <c r="H44" s="1">
        <v>79728.7</v>
      </c>
      <c r="I44" s="1">
        <f>11598.7+45.7+45193.2+13403+1.4</f>
        <v>70242</v>
      </c>
      <c r="J44" s="1">
        <f>12916.3+45.7+52832.3+13403+0.4</f>
        <v>79197.7</v>
      </c>
      <c r="K44" s="1">
        <f>11599.7+45.7+44782.9+13403+0.4</f>
        <v>69831.7</v>
      </c>
      <c r="L44" s="1">
        <f>11599.7+45.7+44782.9+13403+0.4</f>
        <v>69831.7</v>
      </c>
      <c r="M44" s="1">
        <f>11599.7+45.7+44782.9+13403+0.4</f>
        <v>69831.7</v>
      </c>
      <c r="N44" s="1">
        <f>11599.7+45.7+44782.9+13403+0.4</f>
        <v>69831.7</v>
      </c>
    </row>
    <row r="45" spans="1:14" ht="28.5" customHeight="1">
      <c r="A45" s="170"/>
      <c r="B45" s="175"/>
      <c r="C45" s="170"/>
      <c r="D45" s="150"/>
      <c r="E45" s="2" t="s">
        <v>46</v>
      </c>
      <c r="F45" s="2" t="s">
        <v>50</v>
      </c>
      <c r="G45" s="2">
        <v>610</v>
      </c>
      <c r="H45" s="1">
        <v>302491.2</v>
      </c>
      <c r="I45" s="1">
        <f>255302+2713.7</f>
        <v>258015.7</v>
      </c>
      <c r="J45" s="1">
        <v>280411.4</v>
      </c>
      <c r="K45" s="1">
        <v>243916.7</v>
      </c>
      <c r="L45" s="1">
        <v>243916.7</v>
      </c>
      <c r="M45" s="1">
        <v>243916.7</v>
      </c>
      <c r="N45" s="1">
        <v>243916.7</v>
      </c>
    </row>
    <row r="46" spans="1:14" ht="29.25" customHeight="1">
      <c r="A46" s="170"/>
      <c r="B46" s="175"/>
      <c r="C46" s="170"/>
      <c r="D46" s="150"/>
      <c r="E46" s="2" t="s">
        <v>46</v>
      </c>
      <c r="F46" s="2" t="s">
        <v>51</v>
      </c>
      <c r="G46" s="2">
        <v>530</v>
      </c>
      <c r="H46" s="1">
        <v>3977825</v>
      </c>
      <c r="I46" s="1">
        <v>3566656</v>
      </c>
      <c r="J46" s="1">
        <v>3525984.7</v>
      </c>
      <c r="K46" s="1">
        <v>3124598.9</v>
      </c>
      <c r="L46" s="1">
        <v>3124598.9</v>
      </c>
      <c r="M46" s="1">
        <v>3124598.9</v>
      </c>
      <c r="N46" s="1">
        <v>3124598.9</v>
      </c>
    </row>
    <row r="47" spans="1:14" ht="30" customHeight="1">
      <c r="A47" s="170"/>
      <c r="B47" s="175"/>
      <c r="C47" s="170"/>
      <c r="D47" s="150"/>
      <c r="E47" s="2" t="s">
        <v>52</v>
      </c>
      <c r="F47" s="2" t="s">
        <v>53</v>
      </c>
      <c r="G47" s="2">
        <v>530</v>
      </c>
      <c r="H47" s="1">
        <v>9709</v>
      </c>
      <c r="I47" s="1">
        <v>9347</v>
      </c>
      <c r="J47" s="1">
        <v>8804</v>
      </c>
      <c r="K47" s="1">
        <v>7801.8</v>
      </c>
      <c r="L47" s="1">
        <v>7801.8</v>
      </c>
      <c r="M47" s="1">
        <v>7801.8</v>
      </c>
      <c r="N47" s="1">
        <v>7801.8</v>
      </c>
    </row>
    <row r="48" spans="1:14" ht="21" customHeight="1">
      <c r="A48" s="170"/>
      <c r="B48" s="175"/>
      <c r="C48" s="170"/>
      <c r="D48" s="150"/>
      <c r="E48" s="2" t="s">
        <v>46</v>
      </c>
      <c r="F48" s="2" t="s">
        <v>54</v>
      </c>
      <c r="G48" s="2">
        <v>530</v>
      </c>
      <c r="H48" s="1">
        <v>0</v>
      </c>
      <c r="I48" s="1">
        <v>27076</v>
      </c>
      <c r="J48" s="1">
        <v>25715</v>
      </c>
      <c r="K48" s="1">
        <v>22787.7</v>
      </c>
      <c r="L48" s="1">
        <v>22787.7</v>
      </c>
      <c r="M48" s="1">
        <v>22787.7</v>
      </c>
      <c r="N48" s="1">
        <v>22787.7</v>
      </c>
    </row>
    <row r="49" spans="1:14" ht="20.25" customHeight="1">
      <c r="A49" s="170"/>
      <c r="B49" s="175"/>
      <c r="C49" s="170"/>
      <c r="D49" s="150"/>
      <c r="E49" s="2" t="s">
        <v>46</v>
      </c>
      <c r="F49" s="2" t="s">
        <v>55</v>
      </c>
      <c r="G49" s="2" t="s">
        <v>56</v>
      </c>
      <c r="H49" s="1">
        <f>5988+660</f>
        <v>6648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ht="31.5" customHeight="1">
      <c r="A50" s="170"/>
      <c r="B50" s="175"/>
      <c r="C50" s="170"/>
      <c r="D50" s="150"/>
      <c r="E50" s="2" t="s">
        <v>46</v>
      </c>
      <c r="F50" s="2" t="s">
        <v>57</v>
      </c>
      <c r="G50" s="2" t="s">
        <v>58</v>
      </c>
      <c r="H50" s="1">
        <f>12605.3+3677.5</f>
        <v>16282.8</v>
      </c>
      <c r="I50" s="2">
        <v>2695.8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ht="27" customHeight="1">
      <c r="A51" s="170"/>
      <c r="B51" s="175"/>
      <c r="C51" s="170"/>
      <c r="D51" s="150"/>
      <c r="E51" s="2" t="s">
        <v>26</v>
      </c>
      <c r="F51" s="2" t="s">
        <v>59</v>
      </c>
      <c r="G51" s="2">
        <v>620</v>
      </c>
      <c r="H51" s="1">
        <v>1200</v>
      </c>
      <c r="I51" s="2">
        <v>629.8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ht="25.5">
      <c r="A52" s="170"/>
      <c r="B52" s="175"/>
      <c r="C52" s="170"/>
      <c r="D52" s="150"/>
      <c r="E52" s="2" t="s">
        <v>31</v>
      </c>
      <c r="F52" s="2" t="s">
        <v>60</v>
      </c>
      <c r="G52" s="2" t="s">
        <v>61</v>
      </c>
      <c r="H52" s="1">
        <f>64319.6-H85-H42-H60-H80-H81-H79</f>
        <v>51051.2</v>
      </c>
      <c r="I52" s="1">
        <f>30434.2+11561+9667.3+324.6-164.3</f>
        <v>51822.799999999996</v>
      </c>
      <c r="J52" s="1">
        <f>40200.3+10230.6+31280.4+324.6</f>
        <v>82035.90000000001</v>
      </c>
      <c r="K52" s="1">
        <f>27615.3+6205.1+18571.6+324.6</f>
        <v>52716.6</v>
      </c>
      <c r="L52" s="1">
        <f>27615.3+6205.1+18571.6+324.6</f>
        <v>52716.6</v>
      </c>
      <c r="M52" s="1">
        <f>27615.3+6205.1+18571.6+324.6</f>
        <v>52716.6</v>
      </c>
      <c r="N52" s="1">
        <f>27615.3+6205.1+18571.6+324.6</f>
        <v>52716.6</v>
      </c>
    </row>
    <row r="53" spans="1:14" ht="108" customHeight="1">
      <c r="A53" s="170"/>
      <c r="B53" s="175"/>
      <c r="C53" s="170"/>
      <c r="D53" s="150"/>
      <c r="E53" s="2" t="s">
        <v>46</v>
      </c>
      <c r="F53" s="2" t="s">
        <v>62</v>
      </c>
      <c r="G53" s="2">
        <v>240</v>
      </c>
      <c r="H53" s="3">
        <v>0</v>
      </c>
      <c r="I53" s="4">
        <v>4218.9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86.25" customHeight="1">
      <c r="A54" s="170"/>
      <c r="B54" s="175"/>
      <c r="C54" s="170"/>
      <c r="D54" s="150"/>
      <c r="E54" s="4" t="s">
        <v>46</v>
      </c>
      <c r="F54" s="4" t="s">
        <v>63</v>
      </c>
      <c r="G54" s="4">
        <v>610</v>
      </c>
      <c r="H54" s="3">
        <v>0</v>
      </c>
      <c r="I54" s="4">
        <v>298.1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49.5" customHeight="1">
      <c r="A55" s="170"/>
      <c r="B55" s="175"/>
      <c r="C55" s="170"/>
      <c r="D55" s="150"/>
      <c r="E55" s="4" t="s">
        <v>31</v>
      </c>
      <c r="F55" s="4" t="s">
        <v>63</v>
      </c>
      <c r="G55" s="4">
        <v>610</v>
      </c>
      <c r="H55" s="3">
        <v>0</v>
      </c>
      <c r="I55" s="4">
        <f>280+140</f>
        <v>420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ht="52.5" customHeight="1">
      <c r="A56" s="171"/>
      <c r="B56" s="179"/>
      <c r="C56" s="171"/>
      <c r="D56" s="151"/>
      <c r="E56" s="2" t="s">
        <v>65</v>
      </c>
      <c r="F56" s="2" t="s">
        <v>66</v>
      </c>
      <c r="G56" s="2">
        <v>620</v>
      </c>
      <c r="H56" s="1">
        <v>0</v>
      </c>
      <c r="I56" s="2">
        <v>600</v>
      </c>
      <c r="J56" s="1">
        <v>600</v>
      </c>
      <c r="K56" s="1">
        <v>600</v>
      </c>
      <c r="L56" s="1">
        <v>600</v>
      </c>
      <c r="M56" s="1">
        <v>600</v>
      </c>
      <c r="N56" s="1">
        <v>600</v>
      </c>
    </row>
    <row r="57" spans="1:14" ht="279.75" customHeight="1" hidden="1">
      <c r="A57" s="37" t="s">
        <v>119</v>
      </c>
      <c r="B57" s="31" t="s">
        <v>91</v>
      </c>
      <c r="C57" s="30" t="s">
        <v>14</v>
      </c>
      <c r="D57" s="32">
        <v>801</v>
      </c>
      <c r="E57" s="4"/>
      <c r="F57" s="4"/>
      <c r="G57" s="4"/>
      <c r="H57" s="3">
        <v>0</v>
      </c>
      <c r="I57" s="4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45" customHeight="1">
      <c r="A58" s="180" t="s">
        <v>122</v>
      </c>
      <c r="B58" s="182" t="s">
        <v>92</v>
      </c>
      <c r="C58" s="180" t="s">
        <v>14</v>
      </c>
      <c r="D58" s="172">
        <v>801</v>
      </c>
      <c r="E58" s="39" t="s">
        <v>46</v>
      </c>
      <c r="F58" s="39" t="s">
        <v>64</v>
      </c>
      <c r="G58" s="39">
        <v>610</v>
      </c>
      <c r="H58" s="40">
        <f>1200+1860</f>
        <v>3060</v>
      </c>
      <c r="I58" s="39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</row>
    <row r="59" spans="1:14" ht="48.75" customHeight="1">
      <c r="A59" s="181"/>
      <c r="B59" s="183"/>
      <c r="C59" s="181"/>
      <c r="D59" s="173"/>
      <c r="E59" s="39" t="s">
        <v>65</v>
      </c>
      <c r="F59" s="39" t="s">
        <v>66</v>
      </c>
      <c r="G59" s="39">
        <v>620</v>
      </c>
      <c r="H59" s="40">
        <v>600</v>
      </c>
      <c r="I59" s="39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</row>
    <row r="60" spans="1:14" ht="48.75" customHeight="1">
      <c r="A60" s="181"/>
      <c r="B60" s="183"/>
      <c r="C60" s="181"/>
      <c r="D60" s="173"/>
      <c r="E60" s="39" t="s">
        <v>31</v>
      </c>
      <c r="F60" s="39" t="s">
        <v>45</v>
      </c>
      <c r="G60" s="39">
        <v>240</v>
      </c>
      <c r="H60" s="40">
        <f>50+25</f>
        <v>75</v>
      </c>
      <c r="I60" s="39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</row>
    <row r="61" spans="1:15" ht="52.5" customHeight="1">
      <c r="A61" s="181"/>
      <c r="B61" s="184"/>
      <c r="C61" s="41" t="s">
        <v>20</v>
      </c>
      <c r="D61" s="39">
        <v>814</v>
      </c>
      <c r="E61" s="39" t="s">
        <v>13</v>
      </c>
      <c r="F61" s="39" t="s">
        <v>13</v>
      </c>
      <c r="G61" s="39" t="s">
        <v>13</v>
      </c>
      <c r="H61" s="40">
        <v>50</v>
      </c>
      <c r="I61" s="39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6"/>
    </row>
    <row r="62" spans="1:15" ht="391.5" customHeight="1">
      <c r="A62" s="38" t="s">
        <v>120</v>
      </c>
      <c r="B62" s="31" t="s">
        <v>110</v>
      </c>
      <c r="C62" s="30" t="s">
        <v>14</v>
      </c>
      <c r="D62" s="32">
        <v>801</v>
      </c>
      <c r="E62" s="4" t="s">
        <v>46</v>
      </c>
      <c r="F62" s="4" t="s">
        <v>64</v>
      </c>
      <c r="G62" s="4">
        <v>610</v>
      </c>
      <c r="H62" s="1">
        <f>46380.5-1200-1860</f>
        <v>43320.5</v>
      </c>
      <c r="I62" s="1">
        <f>41888.75+361.25-J78</f>
        <v>41650</v>
      </c>
      <c r="J62" s="1">
        <f>44365.5-J78</f>
        <v>43765.5</v>
      </c>
      <c r="K62" s="1">
        <f>41411.7-K78</f>
        <v>40811.7</v>
      </c>
      <c r="L62" s="1">
        <f>41411.7-L78</f>
        <v>40811.7</v>
      </c>
      <c r="M62" s="1">
        <f>41411.7-M78</f>
        <v>40811.7</v>
      </c>
      <c r="N62" s="1">
        <f>41411.7-N78</f>
        <v>40811.7</v>
      </c>
      <c r="O62" s="33"/>
    </row>
    <row r="63" spans="1:14" ht="23.25" customHeight="1">
      <c r="A63" s="169" t="s">
        <v>121</v>
      </c>
      <c r="B63" s="176" t="s">
        <v>93</v>
      </c>
      <c r="C63" s="169" t="s">
        <v>14</v>
      </c>
      <c r="D63" s="149">
        <v>801</v>
      </c>
      <c r="E63" s="2" t="s">
        <v>38</v>
      </c>
      <c r="F63" s="2" t="s">
        <v>67</v>
      </c>
      <c r="G63" s="2" t="s">
        <v>68</v>
      </c>
      <c r="H63" s="1">
        <v>450493</v>
      </c>
      <c r="I63" s="1">
        <f>17222.96322+161699.36+26350.14</f>
        <v>205272.46321999998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ht="19.5" customHeight="1">
      <c r="A64" s="170"/>
      <c r="B64" s="177"/>
      <c r="C64" s="170"/>
      <c r="D64" s="150"/>
      <c r="E64" s="2" t="s">
        <v>38</v>
      </c>
      <c r="F64" s="2" t="s">
        <v>57</v>
      </c>
      <c r="G64" s="2">
        <v>520</v>
      </c>
      <c r="H64" s="1">
        <v>1142.68503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8" customHeight="1">
      <c r="A65" s="170"/>
      <c r="B65" s="177"/>
      <c r="C65" s="170"/>
      <c r="D65" s="150"/>
      <c r="E65" s="2" t="s">
        <v>38</v>
      </c>
      <c r="F65" s="2" t="s">
        <v>55</v>
      </c>
      <c r="G65" s="2">
        <v>520</v>
      </c>
      <c r="H65" s="1">
        <v>401.6029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5.75" customHeight="1">
      <c r="A66" s="170"/>
      <c r="B66" s="177"/>
      <c r="C66" s="170"/>
      <c r="D66" s="150"/>
      <c r="E66" s="2" t="s">
        <v>38</v>
      </c>
      <c r="F66" s="2" t="s">
        <v>69</v>
      </c>
      <c r="G66" s="2">
        <v>520</v>
      </c>
      <c r="H66" s="1">
        <f>14107.5+13254</f>
        <v>27361.5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6.5" customHeight="1">
      <c r="A67" s="170"/>
      <c r="B67" s="177"/>
      <c r="C67" s="170"/>
      <c r="D67" s="150"/>
      <c r="E67" s="2" t="s">
        <v>46</v>
      </c>
      <c r="F67" s="2" t="s">
        <v>70</v>
      </c>
      <c r="G67" s="2">
        <v>520</v>
      </c>
      <c r="H67" s="1">
        <v>0</v>
      </c>
      <c r="I67" s="1">
        <v>25413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20.25" customHeight="1">
      <c r="A68" s="170"/>
      <c r="B68" s="177"/>
      <c r="C68" s="170"/>
      <c r="D68" s="150"/>
      <c r="E68" s="2" t="s">
        <v>46</v>
      </c>
      <c r="F68" s="2" t="s">
        <v>71</v>
      </c>
      <c r="G68" s="2">
        <v>520</v>
      </c>
      <c r="H68" s="1">
        <v>22101.3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5.75" customHeight="1">
      <c r="A69" s="170"/>
      <c r="B69" s="177"/>
      <c r="C69" s="171"/>
      <c r="D69" s="151"/>
      <c r="E69" s="2" t="s">
        <v>46</v>
      </c>
      <c r="F69" s="2" t="s">
        <v>72</v>
      </c>
      <c r="G69" s="2">
        <v>520</v>
      </c>
      <c r="H69" s="1">
        <v>1428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23.25" customHeight="1">
      <c r="A70" s="170"/>
      <c r="B70" s="177"/>
      <c r="C70" s="169" t="s">
        <v>21</v>
      </c>
      <c r="D70" s="149">
        <v>811</v>
      </c>
      <c r="E70" s="2" t="s">
        <v>46</v>
      </c>
      <c r="F70" s="2" t="s">
        <v>73</v>
      </c>
      <c r="G70" s="2">
        <v>414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ht="20.25" customHeight="1">
      <c r="A71" s="170"/>
      <c r="B71" s="177"/>
      <c r="C71" s="170"/>
      <c r="D71" s="150"/>
      <c r="E71" s="2" t="s">
        <v>38</v>
      </c>
      <c r="F71" s="2" t="s">
        <v>67</v>
      </c>
      <c r="G71" s="2">
        <v>410</v>
      </c>
      <c r="H71" s="1">
        <v>0</v>
      </c>
      <c r="I71" s="1">
        <v>30742.5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ht="24.75" customHeight="1">
      <c r="A72" s="171"/>
      <c r="B72" s="178"/>
      <c r="C72" s="171"/>
      <c r="D72" s="151"/>
      <c r="E72" s="2" t="s">
        <v>38</v>
      </c>
      <c r="F72" s="2" t="s">
        <v>74</v>
      </c>
      <c r="G72" s="2">
        <v>410</v>
      </c>
      <c r="H72" s="1">
        <v>0</v>
      </c>
      <c r="I72" s="1">
        <v>0</v>
      </c>
      <c r="J72" s="1">
        <v>50307.5</v>
      </c>
      <c r="K72" s="1">
        <v>0</v>
      </c>
      <c r="L72" s="1">
        <v>0</v>
      </c>
      <c r="M72" s="1">
        <v>0</v>
      </c>
      <c r="N72" s="1">
        <v>0</v>
      </c>
    </row>
    <row r="73" spans="1:14" ht="85.5" customHeight="1">
      <c r="A73" s="169" t="s">
        <v>123</v>
      </c>
      <c r="B73" s="176" t="s">
        <v>94</v>
      </c>
      <c r="C73" s="169" t="s">
        <v>14</v>
      </c>
      <c r="D73" s="149">
        <v>801</v>
      </c>
      <c r="E73" s="2" t="s">
        <v>46</v>
      </c>
      <c r="F73" s="2" t="s">
        <v>75</v>
      </c>
      <c r="G73" s="2">
        <v>530</v>
      </c>
      <c r="H73" s="1">
        <v>95624</v>
      </c>
      <c r="I73" s="1">
        <v>74553</v>
      </c>
      <c r="J73" s="1">
        <v>39536.4</v>
      </c>
      <c r="K73" s="1">
        <v>35035.7</v>
      </c>
      <c r="L73" s="1">
        <v>35035.7</v>
      </c>
      <c r="M73" s="1">
        <v>35035.7</v>
      </c>
      <c r="N73" s="1">
        <v>35035.7</v>
      </c>
    </row>
    <row r="74" spans="1:14" ht="54" customHeight="1">
      <c r="A74" s="170"/>
      <c r="B74" s="177"/>
      <c r="C74" s="170"/>
      <c r="D74" s="150"/>
      <c r="E74" s="2" t="s">
        <v>46</v>
      </c>
      <c r="F74" s="2" t="s">
        <v>76</v>
      </c>
      <c r="G74" s="2">
        <v>520</v>
      </c>
      <c r="H74" s="1">
        <v>18523</v>
      </c>
      <c r="I74" s="1">
        <v>43253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61.5" customHeight="1">
      <c r="A75" s="170"/>
      <c r="B75" s="177"/>
      <c r="C75" s="170"/>
      <c r="D75" s="150"/>
      <c r="E75" s="2" t="s">
        <v>46</v>
      </c>
      <c r="F75" s="2" t="s">
        <v>77</v>
      </c>
      <c r="G75" s="2">
        <v>540</v>
      </c>
      <c r="H75" s="1">
        <v>4137</v>
      </c>
      <c r="I75" s="1">
        <v>3696</v>
      </c>
      <c r="J75" s="1">
        <v>3510.2</v>
      </c>
      <c r="K75" s="1">
        <v>3110.7</v>
      </c>
      <c r="L75" s="1">
        <v>3110.7</v>
      </c>
      <c r="M75" s="1">
        <v>3110.7</v>
      </c>
      <c r="N75" s="1">
        <v>3110.7</v>
      </c>
    </row>
    <row r="76" spans="1:14" ht="54" customHeight="1">
      <c r="A76" s="170"/>
      <c r="B76" s="177"/>
      <c r="C76" s="170"/>
      <c r="D76" s="150"/>
      <c r="E76" s="2" t="s">
        <v>46</v>
      </c>
      <c r="F76" s="2" t="s">
        <v>78</v>
      </c>
      <c r="G76" s="2">
        <v>350</v>
      </c>
      <c r="H76" s="1">
        <v>500</v>
      </c>
      <c r="I76" s="1">
        <v>500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60.75" customHeight="1">
      <c r="A77" s="170"/>
      <c r="B77" s="177"/>
      <c r="C77" s="170"/>
      <c r="D77" s="150"/>
      <c r="E77" s="2" t="s">
        <v>46</v>
      </c>
      <c r="F77" s="2" t="s">
        <v>79</v>
      </c>
      <c r="G77" s="2">
        <v>350</v>
      </c>
      <c r="H77" s="1">
        <v>800</v>
      </c>
      <c r="I77" s="1">
        <v>800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ht="36.75" customHeight="1">
      <c r="A78" s="170"/>
      <c r="B78" s="177"/>
      <c r="C78" s="170"/>
      <c r="D78" s="150"/>
      <c r="E78" s="2" t="s">
        <v>46</v>
      </c>
      <c r="F78" s="2" t="s">
        <v>80</v>
      </c>
      <c r="G78" s="2">
        <v>350</v>
      </c>
      <c r="H78" s="1">
        <v>0</v>
      </c>
      <c r="I78" s="1">
        <f>300+300</f>
        <v>600</v>
      </c>
      <c r="J78" s="1">
        <v>600</v>
      </c>
      <c r="K78" s="1">
        <v>600</v>
      </c>
      <c r="L78" s="1">
        <v>600</v>
      </c>
      <c r="M78" s="1">
        <v>600</v>
      </c>
      <c r="N78" s="1">
        <v>600</v>
      </c>
    </row>
    <row r="79" spans="1:14" ht="50.25" customHeight="1">
      <c r="A79" s="170"/>
      <c r="B79" s="177"/>
      <c r="C79" s="170"/>
      <c r="D79" s="150"/>
      <c r="E79" s="2" t="s">
        <v>31</v>
      </c>
      <c r="F79" s="2" t="s">
        <v>60</v>
      </c>
      <c r="G79" s="2" t="s">
        <v>58</v>
      </c>
      <c r="H79" s="1">
        <f>122.2+75</f>
        <v>197.2</v>
      </c>
      <c r="I79" s="1">
        <v>164.3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ht="42.75" customHeight="1">
      <c r="A80" s="170"/>
      <c r="B80" s="177"/>
      <c r="C80" s="170"/>
      <c r="D80" s="150"/>
      <c r="E80" s="2" t="s">
        <v>31</v>
      </c>
      <c r="F80" s="2" t="s">
        <v>45</v>
      </c>
      <c r="G80" s="2">
        <v>240</v>
      </c>
      <c r="H80" s="1">
        <v>880</v>
      </c>
      <c r="I80" s="1">
        <v>800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ht="57" customHeight="1">
      <c r="A81" s="170"/>
      <c r="B81" s="177"/>
      <c r="C81" s="170"/>
      <c r="D81" s="150"/>
      <c r="E81" s="2" t="s">
        <v>31</v>
      </c>
      <c r="F81" s="2" t="s">
        <v>45</v>
      </c>
      <c r="G81" s="2">
        <v>320</v>
      </c>
      <c r="H81" s="1">
        <v>90</v>
      </c>
      <c r="I81" s="1">
        <v>90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ht="66" customHeight="1" thickBot="1">
      <c r="A82" s="171"/>
      <c r="B82" s="178"/>
      <c r="C82" s="171"/>
      <c r="D82" s="151"/>
      <c r="E82" s="2" t="s">
        <v>65</v>
      </c>
      <c r="F82" s="2" t="s">
        <v>66</v>
      </c>
      <c r="G82" s="2">
        <v>620</v>
      </c>
      <c r="H82" s="1">
        <f>29106.9-1200-600</f>
        <v>27306.9</v>
      </c>
      <c r="I82" s="1">
        <f>23942.7-600-629.8</f>
        <v>22712.9</v>
      </c>
      <c r="J82" s="3">
        <f>26290.8-600</f>
        <v>25690.8</v>
      </c>
      <c r="K82" s="3">
        <f>22843.5-600</f>
        <v>22243.5</v>
      </c>
      <c r="L82" s="3">
        <f>22843.5-600</f>
        <v>22243.5</v>
      </c>
      <c r="M82" s="3">
        <f>22843.5-600</f>
        <v>22243.5</v>
      </c>
      <c r="N82" s="3">
        <f>22843.5-600</f>
        <v>22243.5</v>
      </c>
    </row>
    <row r="83" spans="1:14" ht="12.75">
      <c r="A83" s="162" t="s">
        <v>81</v>
      </c>
      <c r="B83" s="164" t="s">
        <v>82</v>
      </c>
      <c r="C83" s="19" t="s">
        <v>83</v>
      </c>
      <c r="D83" s="34" t="s">
        <v>13</v>
      </c>
      <c r="E83" s="2" t="s">
        <v>13</v>
      </c>
      <c r="F83" s="2" t="s">
        <v>13</v>
      </c>
      <c r="G83" s="2" t="s">
        <v>13</v>
      </c>
      <c r="H83" s="14">
        <f aca="true" t="shared" si="12" ref="H83:N83">H84</f>
        <v>31981.2</v>
      </c>
      <c r="I83" s="14">
        <f t="shared" si="12"/>
        <v>39388.6</v>
      </c>
      <c r="J83" s="14">
        <f t="shared" si="12"/>
        <v>17000</v>
      </c>
      <c r="K83" s="14">
        <f t="shared" si="12"/>
        <v>17000</v>
      </c>
      <c r="L83" s="14">
        <f t="shared" si="12"/>
        <v>17000</v>
      </c>
      <c r="M83" s="14">
        <f t="shared" si="12"/>
        <v>17000</v>
      </c>
      <c r="N83" s="14">
        <f t="shared" si="12"/>
        <v>17000</v>
      </c>
    </row>
    <row r="84" spans="1:15" s="23" customFormat="1" ht="39" thickBot="1">
      <c r="A84" s="167"/>
      <c r="B84" s="168"/>
      <c r="C84" s="19" t="s">
        <v>14</v>
      </c>
      <c r="D84" s="35">
        <v>801</v>
      </c>
      <c r="E84" s="35" t="s">
        <v>13</v>
      </c>
      <c r="F84" s="35" t="s">
        <v>13</v>
      </c>
      <c r="G84" s="35" t="s">
        <v>13</v>
      </c>
      <c r="H84" s="1">
        <f aca="true" t="shared" si="13" ref="H84:N84">H85+H86</f>
        <v>31981.2</v>
      </c>
      <c r="I84" s="1">
        <f t="shared" si="13"/>
        <v>39388.6</v>
      </c>
      <c r="J84" s="1">
        <f t="shared" si="13"/>
        <v>17000</v>
      </c>
      <c r="K84" s="1">
        <f t="shared" si="13"/>
        <v>17000</v>
      </c>
      <c r="L84" s="1">
        <f t="shared" si="13"/>
        <v>17000</v>
      </c>
      <c r="M84" s="1">
        <f t="shared" si="13"/>
        <v>17000</v>
      </c>
      <c r="N84" s="1">
        <f t="shared" si="13"/>
        <v>17000</v>
      </c>
      <c r="O84" s="22"/>
    </row>
    <row r="85" spans="1:14" ht="135.75" customHeight="1">
      <c r="A85" s="157" t="s">
        <v>124</v>
      </c>
      <c r="B85" s="155" t="s">
        <v>111</v>
      </c>
      <c r="C85" s="19" t="s">
        <v>14</v>
      </c>
      <c r="D85" s="2">
        <v>801</v>
      </c>
      <c r="E85" s="2" t="s">
        <v>31</v>
      </c>
      <c r="F85" s="2" t="s">
        <v>84</v>
      </c>
      <c r="G85" s="2">
        <v>620</v>
      </c>
      <c r="H85" s="1">
        <v>8981.2</v>
      </c>
      <c r="I85" s="1">
        <v>8652.4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ht="392.25" customHeight="1" thickBot="1">
      <c r="A86" s="158"/>
      <c r="B86" s="156"/>
      <c r="C86" s="19" t="s">
        <v>14</v>
      </c>
      <c r="D86" s="2">
        <v>801</v>
      </c>
      <c r="E86" s="2" t="s">
        <v>31</v>
      </c>
      <c r="F86" s="2" t="s">
        <v>85</v>
      </c>
      <c r="G86" s="2">
        <v>620</v>
      </c>
      <c r="H86" s="1">
        <f>20700+2300</f>
        <v>23000</v>
      </c>
      <c r="I86" s="1">
        <f>27620.6+3115.6</f>
        <v>30736.199999999997</v>
      </c>
      <c r="J86" s="1">
        <v>17000</v>
      </c>
      <c r="K86" s="1">
        <v>17000</v>
      </c>
      <c r="L86" s="1">
        <v>17000</v>
      </c>
      <c r="M86" s="1">
        <v>17000</v>
      </c>
      <c r="N86" s="1">
        <v>17000</v>
      </c>
    </row>
  </sheetData>
  <sheetProtection/>
  <mergeCells count="55">
    <mergeCell ref="A63:A72"/>
    <mergeCell ref="A73:A82"/>
    <mergeCell ref="B73:B82"/>
    <mergeCell ref="C73:C82"/>
    <mergeCell ref="D73:D82"/>
    <mergeCell ref="A83:A84"/>
    <mergeCell ref="B83:B84"/>
    <mergeCell ref="B63:B72"/>
    <mergeCell ref="C63:C69"/>
    <mergeCell ref="D63:D69"/>
    <mergeCell ref="C70:C72"/>
    <mergeCell ref="D70:D72"/>
    <mergeCell ref="D38:D42"/>
    <mergeCell ref="A43:A56"/>
    <mergeCell ref="B43:B56"/>
    <mergeCell ref="C43:C56"/>
    <mergeCell ref="D43:D56"/>
    <mergeCell ref="A58:A61"/>
    <mergeCell ref="B58:B61"/>
    <mergeCell ref="C58:C60"/>
    <mergeCell ref="D58:D60"/>
    <mergeCell ref="A38:A42"/>
    <mergeCell ref="B31:B32"/>
    <mergeCell ref="A33:A37"/>
    <mergeCell ref="B33:B37"/>
    <mergeCell ref="B38:B42"/>
    <mergeCell ref="C38:C42"/>
    <mergeCell ref="L16:L17"/>
    <mergeCell ref="M16:M17"/>
    <mergeCell ref="N16:N17"/>
    <mergeCell ref="A22:A28"/>
    <mergeCell ref="B22:B28"/>
    <mergeCell ref="C22:C26"/>
    <mergeCell ref="D22:D26"/>
    <mergeCell ref="F16:F17"/>
    <mergeCell ref="G16:G17"/>
    <mergeCell ref="H16:H17"/>
    <mergeCell ref="J16:J17"/>
    <mergeCell ref="K16:K17"/>
    <mergeCell ref="A7:A15"/>
    <mergeCell ref="B7:B15"/>
    <mergeCell ref="A16:A21"/>
    <mergeCell ref="B16:B21"/>
    <mergeCell ref="D16:D17"/>
    <mergeCell ref="E16:E17"/>
    <mergeCell ref="K1:N1"/>
    <mergeCell ref="B85:B86"/>
    <mergeCell ref="A85:A86"/>
    <mergeCell ref="B2:N2"/>
    <mergeCell ref="A4:A5"/>
    <mergeCell ref="B4:B5"/>
    <mergeCell ref="C4:C5"/>
    <mergeCell ref="D4:G4"/>
    <mergeCell ref="H4:N4"/>
    <mergeCell ref="I16:I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6" manualBreakCount="6">
    <brk id="21" max="13" man="1"/>
    <brk id="28" max="13" man="1"/>
    <brk id="30" max="13" man="1"/>
    <brk id="37" max="13" man="1"/>
    <brk id="42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W191"/>
  <sheetViews>
    <sheetView tabSelected="1" view="pageBreakPreview" zoomScale="82" zoomScaleNormal="85" zoomScaleSheetLayoutView="82" zoomScalePageLayoutView="0" workbookViewId="0" topLeftCell="A58">
      <selection activeCell="D64" sqref="D64"/>
    </sheetView>
  </sheetViews>
  <sheetFormatPr defaultColWidth="9.140625" defaultRowHeight="15"/>
  <cols>
    <col min="1" max="1" width="12.421875" style="57" customWidth="1"/>
    <col min="2" max="2" width="28.140625" style="57" customWidth="1"/>
    <col min="3" max="3" width="12.140625" style="57" customWidth="1"/>
    <col min="4" max="4" width="34.57421875" style="57" customWidth="1"/>
    <col min="5" max="5" width="16.8515625" style="57" customWidth="1"/>
    <col min="6" max="6" width="13.140625" style="57" customWidth="1"/>
    <col min="7" max="7" width="15.8515625" style="57" customWidth="1"/>
    <col min="8" max="8" width="15.140625" style="57" customWidth="1"/>
    <col min="9" max="10" width="13.28125" style="57" customWidth="1"/>
    <col min="11" max="11" width="12.8515625" style="57" customWidth="1"/>
    <col min="12" max="12" width="11.28125" style="57" hidden="1" customWidth="1"/>
    <col min="13" max="13" width="14.28125" style="57" bestFit="1" customWidth="1"/>
    <col min="14" max="14" width="12.8515625" style="57" bestFit="1" customWidth="1"/>
    <col min="15" max="15" width="12.8515625" style="57" customWidth="1"/>
    <col min="16" max="16" width="15.00390625" style="57" customWidth="1"/>
    <col min="17" max="17" width="17.7109375" style="57" customWidth="1"/>
    <col min="18" max="18" width="15.57421875" style="57" customWidth="1"/>
    <col min="19" max="19" width="15.00390625" style="57" customWidth="1"/>
    <col min="20" max="20" width="17.8515625" style="57" customWidth="1"/>
    <col min="21" max="16384" width="9.140625" style="57" customWidth="1"/>
  </cols>
  <sheetData>
    <row r="1" spans="8:12" ht="15" customHeight="1">
      <c r="H1" s="197" t="s">
        <v>112</v>
      </c>
      <c r="I1" s="197"/>
      <c r="J1" s="197"/>
      <c r="K1" s="197"/>
      <c r="L1" s="58" t="s">
        <v>98</v>
      </c>
    </row>
    <row r="2" ht="12.75">
      <c r="L2" s="58"/>
    </row>
    <row r="3" spans="1:12" ht="51.75" customHeight="1">
      <c r="A3" s="203" t="s">
        <v>133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12.75">
      <c r="A4" s="198" t="s">
        <v>1</v>
      </c>
      <c r="B4" s="198" t="s">
        <v>99</v>
      </c>
      <c r="C4" s="198" t="s">
        <v>95</v>
      </c>
      <c r="D4" s="198"/>
      <c r="E4" s="198" t="s">
        <v>100</v>
      </c>
      <c r="F4" s="198"/>
      <c r="G4" s="198"/>
      <c r="H4" s="198"/>
      <c r="I4" s="198"/>
      <c r="J4" s="198"/>
      <c r="K4" s="198"/>
      <c r="L4" s="198"/>
    </row>
    <row r="5" spans="1:12" ht="104.25" customHeight="1">
      <c r="A5" s="198"/>
      <c r="B5" s="198"/>
      <c r="C5" s="198"/>
      <c r="D5" s="198"/>
      <c r="E5" s="59">
        <v>2014</v>
      </c>
      <c r="F5" s="59">
        <v>2015</v>
      </c>
      <c r="G5" s="59">
        <v>2016</v>
      </c>
      <c r="H5" s="59">
        <v>2017</v>
      </c>
      <c r="I5" s="59">
        <v>2018</v>
      </c>
      <c r="J5" s="59">
        <v>2019</v>
      </c>
      <c r="K5" s="59">
        <v>2020</v>
      </c>
      <c r="L5" s="59" t="s">
        <v>96</v>
      </c>
    </row>
    <row r="6" spans="1:12" ht="12.75">
      <c r="A6" s="59">
        <v>1</v>
      </c>
      <c r="B6" s="59">
        <v>2</v>
      </c>
      <c r="C6" s="198">
        <v>3</v>
      </c>
      <c r="D6" s="198"/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</row>
    <row r="7" spans="1:23" s="62" customFormat="1" ht="19.5" customHeight="1">
      <c r="A7" s="187" t="s">
        <v>137</v>
      </c>
      <c r="B7" s="192" t="s">
        <v>252</v>
      </c>
      <c r="C7" s="187" t="s">
        <v>105</v>
      </c>
      <c r="D7" s="201"/>
      <c r="E7" s="60">
        <f aca="true" t="shared" si="0" ref="E7:K7">SUM(E8:E15)</f>
        <v>7509925.2197900005</v>
      </c>
      <c r="F7" s="60">
        <f t="shared" si="0"/>
        <v>6819704.76322</v>
      </c>
      <c r="G7" s="60">
        <f t="shared" si="0"/>
        <v>6846195.800000001</v>
      </c>
      <c r="H7" s="60">
        <f t="shared" si="0"/>
        <v>5715693.3</v>
      </c>
      <c r="I7" s="60">
        <f t="shared" si="0"/>
        <v>5715693.3</v>
      </c>
      <c r="J7" s="60">
        <f t="shared" si="0"/>
        <v>5715693.3</v>
      </c>
      <c r="K7" s="60">
        <f t="shared" si="0"/>
        <v>5715693.3</v>
      </c>
      <c r="L7" s="61"/>
      <c r="N7" s="63">
        <f>(G7-F7)/G7*100</f>
        <v>0.3869453570112713</v>
      </c>
      <c r="O7" s="63"/>
      <c r="P7" s="64">
        <f>SUM(E7:L7)</f>
        <v>44038598.98301</v>
      </c>
      <c r="Q7" s="63"/>
      <c r="R7" s="63"/>
      <c r="S7" s="63"/>
      <c r="T7" s="63"/>
      <c r="U7" s="63"/>
      <c r="V7" s="63"/>
      <c r="W7" s="63"/>
    </row>
    <row r="8" spans="1:21" ht="43.5" customHeight="1">
      <c r="A8" s="187"/>
      <c r="B8" s="193"/>
      <c r="C8" s="187" t="s">
        <v>97</v>
      </c>
      <c r="D8" s="65" t="s">
        <v>128</v>
      </c>
      <c r="E8" s="60">
        <f aca="true" t="shared" si="1" ref="E8:K8">E17+E62+E152+E174</f>
        <v>7018239.3029000005</v>
      </c>
      <c r="F8" s="60">
        <f t="shared" si="1"/>
        <v>6554077</v>
      </c>
      <c r="G8" s="60">
        <f t="shared" si="1"/>
        <v>6841341.9</v>
      </c>
      <c r="H8" s="60">
        <f t="shared" si="1"/>
        <v>5715693.3</v>
      </c>
      <c r="I8" s="60">
        <f t="shared" si="1"/>
        <v>5715693.3</v>
      </c>
      <c r="J8" s="60">
        <f t="shared" si="1"/>
        <v>5715693.3</v>
      </c>
      <c r="K8" s="60">
        <f t="shared" si="1"/>
        <v>5715693.3</v>
      </c>
      <c r="L8" s="66"/>
      <c r="N8" s="63">
        <f>G8-6846195.8</f>
        <v>-4853.899999999441</v>
      </c>
      <c r="O8" s="63"/>
      <c r="P8" s="64">
        <f>SUM(E8:L8)</f>
        <v>43276431.402899995</v>
      </c>
      <c r="Q8" s="63"/>
      <c r="R8" s="63"/>
      <c r="S8" s="63"/>
      <c r="T8" s="63"/>
      <c r="U8" s="63"/>
    </row>
    <row r="9" spans="1:21" ht="42" customHeight="1">
      <c r="A9" s="187"/>
      <c r="B9" s="193"/>
      <c r="C9" s="187"/>
      <c r="D9" s="65" t="s">
        <v>129</v>
      </c>
      <c r="E9" s="60">
        <f>E18+E63+E153</f>
        <v>491685.91689</v>
      </c>
      <c r="F9" s="60">
        <f>F18+F63+F153</f>
        <v>265627.76321999996</v>
      </c>
      <c r="G9" s="60">
        <f>G18+G63+G153+G175</f>
        <v>4853.900000000001</v>
      </c>
      <c r="H9" s="60">
        <f>H18+H63+I9</f>
        <v>0</v>
      </c>
      <c r="I9" s="60">
        <f>I18+I63++I153</f>
        <v>0</v>
      </c>
      <c r="J9" s="60">
        <f>J18+J63++J153</f>
        <v>0</v>
      </c>
      <c r="K9" s="60">
        <f>K18+K63++K153</f>
        <v>0</v>
      </c>
      <c r="L9" s="66"/>
      <c r="N9" s="63"/>
      <c r="O9" s="63"/>
      <c r="P9" s="64">
        <f>SUM(E9:L9)</f>
        <v>762167.58011</v>
      </c>
      <c r="Q9" s="63"/>
      <c r="R9" s="63"/>
      <c r="S9" s="63"/>
      <c r="T9" s="63"/>
      <c r="U9" s="63"/>
    </row>
    <row r="10" spans="1:21" ht="86.25" customHeight="1">
      <c r="A10" s="187"/>
      <c r="B10" s="193"/>
      <c r="C10" s="187"/>
      <c r="D10" s="65" t="s">
        <v>220</v>
      </c>
      <c r="E10" s="60">
        <v>0</v>
      </c>
      <c r="F10" s="60">
        <f>F19+F64++F154</f>
        <v>0</v>
      </c>
      <c r="G10" s="60">
        <f>G19+G64+G154+G176</f>
        <v>0</v>
      </c>
      <c r="H10" s="60">
        <f>H19+H64++H154</f>
        <v>0</v>
      </c>
      <c r="I10" s="60">
        <f>I19+I64+I154</f>
        <v>0</v>
      </c>
      <c r="J10" s="60">
        <f>J19+J64++J154</f>
        <v>0</v>
      </c>
      <c r="K10" s="60">
        <f>K19+K64++K154</f>
        <v>0</v>
      </c>
      <c r="L10" s="67">
        <f>L19+L64++L154</f>
        <v>0</v>
      </c>
      <c r="N10" s="63"/>
      <c r="O10" s="63"/>
      <c r="P10" s="64"/>
      <c r="Q10" s="63"/>
      <c r="R10" s="63"/>
      <c r="S10" s="63"/>
      <c r="T10" s="63"/>
      <c r="U10" s="63"/>
    </row>
    <row r="11" spans="1:21" ht="12.75">
      <c r="A11" s="187"/>
      <c r="B11" s="199"/>
      <c r="C11" s="187" t="s">
        <v>101</v>
      </c>
      <c r="D11" s="187"/>
      <c r="E11" s="60">
        <f aca="true" t="shared" si="2" ref="E11:K14">SUM(E20,E65,E155)</f>
        <v>0</v>
      </c>
      <c r="F11" s="60">
        <f t="shared" si="2"/>
        <v>0</v>
      </c>
      <c r="G11" s="60">
        <f t="shared" si="2"/>
        <v>0</v>
      </c>
      <c r="H11" s="60">
        <f t="shared" si="2"/>
        <v>0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6"/>
      <c r="N11" s="63"/>
      <c r="O11" s="63"/>
      <c r="P11" s="68"/>
      <c r="Q11" s="63"/>
      <c r="R11" s="63"/>
      <c r="S11" s="63"/>
      <c r="T11" s="63"/>
      <c r="U11" s="63"/>
    </row>
    <row r="12" spans="1:21" ht="26.25" customHeight="1">
      <c r="A12" s="187"/>
      <c r="B12" s="199"/>
      <c r="C12" s="187" t="s">
        <v>102</v>
      </c>
      <c r="D12" s="187"/>
      <c r="E12" s="60">
        <f t="shared" si="2"/>
        <v>0</v>
      </c>
      <c r="F12" s="60">
        <f t="shared" si="2"/>
        <v>0</v>
      </c>
      <c r="G12" s="60">
        <f t="shared" si="2"/>
        <v>0</v>
      </c>
      <c r="H12" s="60">
        <f t="shared" si="2"/>
        <v>0</v>
      </c>
      <c r="I12" s="60">
        <f t="shared" si="2"/>
        <v>0</v>
      </c>
      <c r="J12" s="60">
        <f t="shared" si="2"/>
        <v>0</v>
      </c>
      <c r="K12" s="60">
        <f t="shared" si="2"/>
        <v>0</v>
      </c>
      <c r="L12" s="66"/>
      <c r="N12" s="63"/>
      <c r="O12" s="63"/>
      <c r="P12" s="64"/>
      <c r="Q12" s="63"/>
      <c r="R12" s="63"/>
      <c r="S12" s="63"/>
      <c r="T12" s="63"/>
      <c r="U12" s="63"/>
    </row>
    <row r="13" spans="1:21" ht="24.75" customHeight="1">
      <c r="A13" s="187"/>
      <c r="B13" s="199"/>
      <c r="C13" s="187" t="s">
        <v>103</v>
      </c>
      <c r="D13" s="187"/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60">
        <f t="shared" si="2"/>
        <v>0</v>
      </c>
      <c r="L13" s="66"/>
      <c r="N13" s="63"/>
      <c r="O13" s="63"/>
      <c r="P13" s="68"/>
      <c r="Q13" s="63"/>
      <c r="R13" s="63"/>
      <c r="S13" s="63"/>
      <c r="T13" s="63"/>
      <c r="U13" s="63"/>
    </row>
    <row r="14" spans="1:21" ht="12.75">
      <c r="A14" s="187"/>
      <c r="B14" s="199"/>
      <c r="C14" s="187" t="s">
        <v>108</v>
      </c>
      <c r="D14" s="187"/>
      <c r="E14" s="60">
        <f t="shared" si="2"/>
        <v>0</v>
      </c>
      <c r="F14" s="60">
        <f t="shared" si="2"/>
        <v>0</v>
      </c>
      <c r="G14" s="60">
        <f t="shared" si="2"/>
        <v>0</v>
      </c>
      <c r="H14" s="60">
        <f t="shared" si="2"/>
        <v>0</v>
      </c>
      <c r="I14" s="60">
        <f t="shared" si="2"/>
        <v>0</v>
      </c>
      <c r="J14" s="60">
        <f t="shared" si="2"/>
        <v>0</v>
      </c>
      <c r="K14" s="60">
        <f t="shared" si="2"/>
        <v>0</v>
      </c>
      <c r="L14" s="66"/>
      <c r="N14" s="63"/>
      <c r="O14" s="63"/>
      <c r="P14" s="68"/>
      <c r="Q14" s="63"/>
      <c r="R14" s="63"/>
      <c r="S14" s="63"/>
      <c r="T14" s="63"/>
      <c r="U14" s="63"/>
    </row>
    <row r="15" spans="1:21" ht="12.75" customHeight="1">
      <c r="A15" s="187"/>
      <c r="B15" s="200"/>
      <c r="C15" s="187" t="s">
        <v>104</v>
      </c>
      <c r="D15" s="187"/>
      <c r="E15" s="60">
        <f>SUM(E24,E69,E159)</f>
        <v>0</v>
      </c>
      <c r="F15" s="60">
        <v>0</v>
      </c>
      <c r="G15" s="60">
        <f>SUM(G24,G69,G159)</f>
        <v>0</v>
      </c>
      <c r="H15" s="60">
        <f>SUM(H24,H69,H159)</f>
        <v>0</v>
      </c>
      <c r="I15" s="60">
        <f>SUM(I24,I69,I159)</f>
        <v>0</v>
      </c>
      <c r="J15" s="60">
        <f>SUM(J24,J69,J159)</f>
        <v>0</v>
      </c>
      <c r="K15" s="60">
        <f>SUM(K24,K69,K159)</f>
        <v>0</v>
      </c>
      <c r="L15" s="66"/>
      <c r="N15" s="63"/>
      <c r="O15" s="63"/>
      <c r="P15" s="68"/>
      <c r="Q15" s="63"/>
      <c r="R15" s="63"/>
      <c r="S15" s="63"/>
      <c r="T15" s="63"/>
      <c r="U15" s="63"/>
    </row>
    <row r="16" spans="1:21" ht="12.75">
      <c r="A16" s="187" t="s">
        <v>251</v>
      </c>
      <c r="B16" s="187" t="s">
        <v>136</v>
      </c>
      <c r="C16" s="187" t="s">
        <v>105</v>
      </c>
      <c r="D16" s="187"/>
      <c r="E16" s="60">
        <f>SUM(E17:E24)</f>
        <v>875406.1</v>
      </c>
      <c r="F16" s="60">
        <f aca="true" t="shared" si="3" ref="F16:L16">SUM(F17:F24)</f>
        <v>745416.4</v>
      </c>
      <c r="G16" s="60">
        <f t="shared" si="3"/>
        <v>753381</v>
      </c>
      <c r="H16" s="60">
        <f t="shared" si="3"/>
        <v>723327.5000000001</v>
      </c>
      <c r="I16" s="60">
        <f t="shared" si="3"/>
        <v>723327.5000000001</v>
      </c>
      <c r="J16" s="60">
        <f t="shared" si="3"/>
        <v>723327.5000000001</v>
      </c>
      <c r="K16" s="60">
        <f t="shared" si="3"/>
        <v>723327.5000000001</v>
      </c>
      <c r="L16" s="66">
        <f t="shared" si="3"/>
        <v>0</v>
      </c>
      <c r="N16" s="63">
        <f>G16/F16*100</f>
        <v>101.06847662595027</v>
      </c>
      <c r="O16" s="63"/>
      <c r="P16" s="64">
        <f>SUM(E16:L16)</f>
        <v>5267513.5</v>
      </c>
      <c r="Q16" s="63"/>
      <c r="R16" s="63"/>
      <c r="S16" s="63"/>
      <c r="T16" s="63"/>
      <c r="U16" s="63"/>
    </row>
    <row r="17" spans="1:21" ht="37.5" customHeight="1">
      <c r="A17" s="187"/>
      <c r="B17" s="187"/>
      <c r="C17" s="187" t="s">
        <v>97</v>
      </c>
      <c r="D17" s="65" t="s">
        <v>130</v>
      </c>
      <c r="E17" s="60">
        <f>'Приложение 4 '!H18+'Приложение 4 '!H19+'Приложение 4 '!H20+'Приложение 4 '!H21-'Приложение 4 '!H25</f>
        <v>874573.2999999999</v>
      </c>
      <c r="F17" s="60">
        <f>'Приложение 4 '!I18+'Приложение 4 '!I19+'Приложение 4 '!I20+'Приложение 4 '!I21-'Приложение 4 '!I25</f>
        <v>744712.4</v>
      </c>
      <c r="G17" s="60">
        <f>'Приложение 4'!J15+'Приложение 4'!J16+'Приложение 4'!J17+'Приложение 4'!J18</f>
        <v>753381</v>
      </c>
      <c r="H17" s="60">
        <f>'Приложение 4 '!K18+'Приложение 4 '!K19+'Приложение 4 '!K20+'Приложение 4 '!K21-'Приложение 4 '!K25</f>
        <v>723327.5000000001</v>
      </c>
      <c r="I17" s="60">
        <f>'Приложение 4 '!L18+'Приложение 4 '!L19+'Приложение 4 '!L20+'Приложение 4 '!L21-'Приложение 4 '!L25</f>
        <v>723327.5000000001</v>
      </c>
      <c r="J17" s="60">
        <f>'Приложение 4 '!M18+'Приложение 4 '!M19+'Приложение 4 '!M20+'Приложение 4 '!M21-'Приложение 4 '!M25</f>
        <v>723327.5000000001</v>
      </c>
      <c r="K17" s="60">
        <f>'Приложение 4 '!N18+'Приложение 4 '!N19+'Приложение 4 '!N20+'Приложение 4 '!N21-'Приложение 4 '!N25</f>
        <v>723327.5000000001</v>
      </c>
      <c r="L17" s="66"/>
      <c r="N17" s="63"/>
      <c r="O17" s="63"/>
      <c r="P17" s="64">
        <f>SUM(E17:L17)</f>
        <v>5265976.7</v>
      </c>
      <c r="Q17" s="63"/>
      <c r="R17" s="63"/>
      <c r="S17" s="63"/>
      <c r="T17" s="63"/>
      <c r="U17" s="63"/>
    </row>
    <row r="18" spans="1:21" ht="39.75" customHeight="1">
      <c r="A18" s="187"/>
      <c r="B18" s="187"/>
      <c r="C18" s="187"/>
      <c r="D18" s="65" t="s">
        <v>131</v>
      </c>
      <c r="E18" s="60">
        <f>'Приложение 4 '!H25</f>
        <v>832.8</v>
      </c>
      <c r="F18" s="60">
        <f>'Приложение 4 '!I25</f>
        <v>704</v>
      </c>
      <c r="G18" s="60">
        <f>'Приложение 4 '!J25</f>
        <v>0</v>
      </c>
      <c r="H18" s="60">
        <f>'Приложение 4 '!K25</f>
        <v>0</v>
      </c>
      <c r="I18" s="60">
        <f>'Приложение 4 '!L25</f>
        <v>0</v>
      </c>
      <c r="J18" s="60">
        <f>'Приложение 4 '!M25</f>
        <v>0</v>
      </c>
      <c r="K18" s="60">
        <f>'Приложение 4 '!N25</f>
        <v>0</v>
      </c>
      <c r="L18" s="66"/>
      <c r="N18" s="63"/>
      <c r="O18" s="63"/>
      <c r="P18" s="64">
        <f>SUM(E18:L18)</f>
        <v>1536.8</v>
      </c>
      <c r="Q18" s="63"/>
      <c r="R18" s="63"/>
      <c r="S18" s="63"/>
      <c r="T18" s="63"/>
      <c r="U18" s="63"/>
    </row>
    <row r="19" spans="1:21" ht="66.75" customHeight="1">
      <c r="A19" s="187"/>
      <c r="B19" s="187"/>
      <c r="C19" s="187"/>
      <c r="D19" s="65" t="s">
        <v>134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6"/>
      <c r="N19" s="63"/>
      <c r="O19" s="63"/>
      <c r="P19" s="68"/>
      <c r="Q19" s="63"/>
      <c r="R19" s="63"/>
      <c r="S19" s="63"/>
      <c r="T19" s="63"/>
      <c r="U19" s="63"/>
    </row>
    <row r="20" spans="1:21" ht="12.75">
      <c r="A20" s="187"/>
      <c r="B20" s="187"/>
      <c r="C20" s="187" t="s">
        <v>106</v>
      </c>
      <c r="D20" s="187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6"/>
      <c r="N20" s="63"/>
      <c r="O20" s="63"/>
      <c r="P20" s="68"/>
      <c r="Q20" s="63"/>
      <c r="R20" s="63"/>
      <c r="S20" s="63"/>
      <c r="T20" s="63"/>
      <c r="U20" s="63"/>
    </row>
    <row r="21" spans="1:21" ht="30" customHeight="1">
      <c r="A21" s="187"/>
      <c r="B21" s="187"/>
      <c r="C21" s="187" t="s">
        <v>102</v>
      </c>
      <c r="D21" s="187"/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6"/>
      <c r="N21" s="63"/>
      <c r="O21" s="63"/>
      <c r="P21" s="68"/>
      <c r="Q21" s="63"/>
      <c r="R21" s="63"/>
      <c r="S21" s="63"/>
      <c r="T21" s="63"/>
      <c r="U21" s="63"/>
    </row>
    <row r="22" spans="1:21" ht="26.25" customHeight="1">
      <c r="A22" s="187"/>
      <c r="B22" s="187"/>
      <c r="C22" s="187" t="s">
        <v>107</v>
      </c>
      <c r="D22" s="187"/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6"/>
      <c r="N22" s="63"/>
      <c r="O22" s="63"/>
      <c r="P22" s="68"/>
      <c r="Q22" s="63"/>
      <c r="R22" s="63"/>
      <c r="S22" s="63"/>
      <c r="T22" s="63"/>
      <c r="U22" s="63"/>
    </row>
    <row r="23" spans="1:21" ht="12" customHeight="1">
      <c r="A23" s="187"/>
      <c r="B23" s="187"/>
      <c r="C23" s="187" t="s">
        <v>108</v>
      </c>
      <c r="D23" s="187"/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6"/>
      <c r="N23" s="63"/>
      <c r="O23" s="63"/>
      <c r="P23" s="68"/>
      <c r="Q23" s="63"/>
      <c r="R23" s="63"/>
      <c r="S23" s="63"/>
      <c r="T23" s="63"/>
      <c r="U23" s="63"/>
    </row>
    <row r="24" spans="1:21" ht="24" customHeight="1">
      <c r="A24" s="187"/>
      <c r="B24" s="187"/>
      <c r="C24" s="187" t="s">
        <v>104</v>
      </c>
      <c r="D24" s="187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70">
        <v>0</v>
      </c>
      <c r="N24" s="63"/>
      <c r="O24" s="63"/>
      <c r="P24" s="68"/>
      <c r="Q24" s="63"/>
      <c r="R24" s="63"/>
      <c r="S24" s="63"/>
      <c r="T24" s="63"/>
      <c r="U24" s="63"/>
    </row>
    <row r="25" spans="1:21" ht="15" customHeight="1">
      <c r="A25" s="195" t="s">
        <v>223</v>
      </c>
      <c r="B25" s="195" t="s">
        <v>224</v>
      </c>
      <c r="C25" s="187" t="s">
        <v>105</v>
      </c>
      <c r="D25" s="187"/>
      <c r="E25" s="60">
        <f>E26+E27+E28+E29+E30+E31+E32+E33</f>
        <v>875406.1</v>
      </c>
      <c r="F25" s="60">
        <f aca="true" t="shared" si="4" ref="F25:K25">F26+F27+F28+F29+F30+F31+F32+F33</f>
        <v>745416.4</v>
      </c>
      <c r="G25" s="60">
        <f t="shared" si="4"/>
        <v>753381</v>
      </c>
      <c r="H25" s="60">
        <f t="shared" si="4"/>
        <v>723327.5000000001</v>
      </c>
      <c r="I25" s="60">
        <f t="shared" si="4"/>
        <v>723327.5000000001</v>
      </c>
      <c r="J25" s="60">
        <f t="shared" si="4"/>
        <v>723327.5000000001</v>
      </c>
      <c r="K25" s="60">
        <f t="shared" si="4"/>
        <v>723327.5000000001</v>
      </c>
      <c r="L25" s="70"/>
      <c r="N25" s="63"/>
      <c r="O25" s="63"/>
      <c r="P25" s="68"/>
      <c r="Q25" s="63"/>
      <c r="R25" s="63"/>
      <c r="S25" s="63"/>
      <c r="T25" s="63"/>
      <c r="U25" s="63"/>
    </row>
    <row r="26" spans="1:21" ht="39.75" customHeight="1">
      <c r="A26" s="196"/>
      <c r="B26" s="196"/>
      <c r="C26" s="187" t="s">
        <v>97</v>
      </c>
      <c r="D26" s="65" t="s">
        <v>130</v>
      </c>
      <c r="E26" s="60">
        <f>'Приложение 4'!H20+'Приложение 4'!H21+'Приложение 4'!H22+'Приложение 4'!H24+'Приложение 4'!H25+'Приложение 4'!H26</f>
        <v>874573.2999999999</v>
      </c>
      <c r="F26" s="60">
        <f>'Приложение 4'!I20+'Приложение 4'!I21+'Приложение 4'!I22+'Приложение 4'!I24+'Приложение 4'!I25+'Приложение 4'!I26</f>
        <v>744712.4</v>
      </c>
      <c r="G26" s="60">
        <f>'Приложение 4'!J20+'Приложение 4'!J21+'Приложение 4'!J22+'Приложение 4'!J24+'Приложение 4'!J25+'Приложение 4'!J26</f>
        <v>753381</v>
      </c>
      <c r="H26" s="60">
        <f>'Приложение 4'!K20+'Приложение 4'!K21+'Приложение 4'!K22+'Приложение 4'!K24+'Приложение 4'!K25+'Приложение 4'!K26</f>
        <v>723327.5000000001</v>
      </c>
      <c r="I26" s="60">
        <f>'Приложение 4'!L20+'Приложение 4'!L21+'Приложение 4'!L22+'Приложение 4'!L24+'Приложение 4'!L25+'Приложение 4'!L26</f>
        <v>723327.5000000001</v>
      </c>
      <c r="J26" s="60">
        <f>'Приложение 4'!M20+'Приложение 4'!M21+'Приложение 4'!M22+'Приложение 4'!M24+'Приложение 4'!M25+'Приложение 4'!M26</f>
        <v>723327.5000000001</v>
      </c>
      <c r="K26" s="60">
        <f>'Приложение 4'!N20+'Приложение 4'!N21+'Приложение 4'!N22+'Приложение 4'!N24+'Приложение 4'!N25+'Приложение 4'!N26</f>
        <v>723327.5000000001</v>
      </c>
      <c r="L26" s="70"/>
      <c r="N26" s="63"/>
      <c r="O26" s="63"/>
      <c r="P26" s="68"/>
      <c r="Q26" s="63"/>
      <c r="R26" s="63"/>
      <c r="S26" s="63"/>
      <c r="T26" s="63"/>
      <c r="U26" s="63"/>
    </row>
    <row r="27" spans="1:21" ht="39.75" customHeight="1">
      <c r="A27" s="196"/>
      <c r="B27" s="196"/>
      <c r="C27" s="187"/>
      <c r="D27" s="65" t="s">
        <v>131</v>
      </c>
      <c r="E27" s="60">
        <f>'Приложение 4'!H23</f>
        <v>832.8</v>
      </c>
      <c r="F27" s="60">
        <f>'Приложение 4'!I23</f>
        <v>704</v>
      </c>
      <c r="G27" s="60">
        <f>'Приложение 4'!J23</f>
        <v>0</v>
      </c>
      <c r="H27" s="60">
        <f>'Приложение 4'!K23</f>
        <v>0</v>
      </c>
      <c r="I27" s="60">
        <f>'Приложение 4'!L23</f>
        <v>0</v>
      </c>
      <c r="J27" s="60">
        <f>'Приложение 4'!M23</f>
        <v>0</v>
      </c>
      <c r="K27" s="60">
        <f>'Приложение 4'!N23</f>
        <v>0</v>
      </c>
      <c r="L27" s="70"/>
      <c r="N27" s="63"/>
      <c r="O27" s="63"/>
      <c r="P27" s="68"/>
      <c r="Q27" s="63"/>
      <c r="R27" s="63"/>
      <c r="S27" s="63"/>
      <c r="T27" s="63"/>
      <c r="U27" s="63"/>
    </row>
    <row r="28" spans="1:21" ht="54" customHeight="1">
      <c r="A28" s="196"/>
      <c r="B28" s="196"/>
      <c r="C28" s="187"/>
      <c r="D28" s="65" t="s">
        <v>134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70"/>
      <c r="N28" s="63"/>
      <c r="O28" s="63"/>
      <c r="P28" s="68"/>
      <c r="Q28" s="63"/>
      <c r="R28" s="63"/>
      <c r="S28" s="63"/>
      <c r="T28" s="63"/>
      <c r="U28" s="63"/>
    </row>
    <row r="29" spans="1:21" ht="24" customHeight="1">
      <c r="A29" s="196"/>
      <c r="B29" s="196"/>
      <c r="C29" s="187" t="s">
        <v>106</v>
      </c>
      <c r="D29" s="187"/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70"/>
      <c r="N29" s="63"/>
      <c r="O29" s="63"/>
      <c r="P29" s="68"/>
      <c r="Q29" s="63"/>
      <c r="R29" s="63"/>
      <c r="S29" s="63"/>
      <c r="T29" s="63"/>
      <c r="U29" s="63"/>
    </row>
    <row r="30" spans="1:21" ht="27.75" customHeight="1">
      <c r="A30" s="196"/>
      <c r="B30" s="196"/>
      <c r="C30" s="187" t="s">
        <v>102</v>
      </c>
      <c r="D30" s="187"/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70"/>
      <c r="N30" s="63"/>
      <c r="O30" s="63"/>
      <c r="P30" s="68"/>
      <c r="Q30" s="63"/>
      <c r="R30" s="63"/>
      <c r="S30" s="63"/>
      <c r="T30" s="63"/>
      <c r="U30" s="63"/>
    </row>
    <row r="31" spans="1:21" ht="29.25" customHeight="1">
      <c r="A31" s="196"/>
      <c r="B31" s="196"/>
      <c r="C31" s="187" t="s">
        <v>107</v>
      </c>
      <c r="D31" s="187"/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70"/>
      <c r="N31" s="63"/>
      <c r="O31" s="63"/>
      <c r="P31" s="68"/>
      <c r="Q31" s="63"/>
      <c r="R31" s="63"/>
      <c r="S31" s="63"/>
      <c r="T31" s="63"/>
      <c r="U31" s="63"/>
    </row>
    <row r="32" spans="1:21" ht="16.5" customHeight="1">
      <c r="A32" s="196"/>
      <c r="B32" s="196"/>
      <c r="C32" s="187" t="s">
        <v>108</v>
      </c>
      <c r="D32" s="187"/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70"/>
      <c r="N32" s="63"/>
      <c r="O32" s="63"/>
      <c r="P32" s="68"/>
      <c r="Q32" s="63"/>
      <c r="R32" s="63"/>
      <c r="S32" s="63"/>
      <c r="T32" s="63"/>
      <c r="U32" s="63"/>
    </row>
    <row r="33" spans="1:21" ht="24" customHeight="1">
      <c r="A33" s="204"/>
      <c r="B33" s="204"/>
      <c r="C33" s="187" t="s">
        <v>104</v>
      </c>
      <c r="D33" s="187"/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70"/>
      <c r="N33" s="63"/>
      <c r="O33" s="63"/>
      <c r="P33" s="68"/>
      <c r="Q33" s="63"/>
      <c r="R33" s="63"/>
      <c r="S33" s="63"/>
      <c r="T33" s="63"/>
      <c r="U33" s="63"/>
    </row>
    <row r="34" spans="1:21" ht="16.5" customHeight="1">
      <c r="A34" s="195" t="s">
        <v>225</v>
      </c>
      <c r="B34" s="195" t="s">
        <v>235</v>
      </c>
      <c r="C34" s="187" t="s">
        <v>105</v>
      </c>
      <c r="D34" s="187"/>
      <c r="E34" s="60">
        <f>SUM(E35:E42)</f>
        <v>0</v>
      </c>
      <c r="F34" s="60">
        <f aca="true" t="shared" si="5" ref="F34:K34">SUM(F35:F42)</f>
        <v>0</v>
      </c>
      <c r="G34" s="60">
        <f t="shared" si="5"/>
        <v>0</v>
      </c>
      <c r="H34" s="60">
        <f t="shared" si="5"/>
        <v>0</v>
      </c>
      <c r="I34" s="60">
        <f t="shared" si="5"/>
        <v>0</v>
      </c>
      <c r="J34" s="60">
        <f t="shared" si="5"/>
        <v>0</v>
      </c>
      <c r="K34" s="60">
        <f t="shared" si="5"/>
        <v>0</v>
      </c>
      <c r="L34" s="70"/>
      <c r="N34" s="63"/>
      <c r="O34" s="63"/>
      <c r="P34" s="68"/>
      <c r="Q34" s="63"/>
      <c r="R34" s="63"/>
      <c r="S34" s="63"/>
      <c r="T34" s="63"/>
      <c r="U34" s="63"/>
    </row>
    <row r="35" spans="1:21" ht="42" customHeight="1">
      <c r="A35" s="196"/>
      <c r="B35" s="196"/>
      <c r="C35" s="187" t="s">
        <v>97</v>
      </c>
      <c r="D35" s="65" t="s">
        <v>130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70"/>
      <c r="N35" s="63"/>
      <c r="O35" s="63"/>
      <c r="P35" s="68"/>
      <c r="Q35" s="63"/>
      <c r="R35" s="63"/>
      <c r="S35" s="63"/>
      <c r="T35" s="63"/>
      <c r="U35" s="63"/>
    </row>
    <row r="36" spans="1:21" ht="40.5" customHeight="1">
      <c r="A36" s="196"/>
      <c r="B36" s="196"/>
      <c r="C36" s="187"/>
      <c r="D36" s="65" t="s">
        <v>131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70"/>
      <c r="N36" s="63"/>
      <c r="O36" s="63"/>
      <c r="P36" s="68"/>
      <c r="Q36" s="63"/>
      <c r="R36" s="63"/>
      <c r="S36" s="63"/>
      <c r="T36" s="63"/>
      <c r="U36" s="63"/>
    </row>
    <row r="37" spans="1:21" ht="53.25" customHeight="1">
      <c r="A37" s="196"/>
      <c r="B37" s="196"/>
      <c r="C37" s="187"/>
      <c r="D37" s="65" t="s">
        <v>134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70"/>
      <c r="N37" s="63"/>
      <c r="O37" s="63"/>
      <c r="P37" s="68"/>
      <c r="Q37" s="63"/>
      <c r="R37" s="63"/>
      <c r="S37" s="63"/>
      <c r="T37" s="63"/>
      <c r="U37" s="63"/>
    </row>
    <row r="38" spans="1:21" ht="19.5" customHeight="1">
      <c r="A38" s="196"/>
      <c r="B38" s="196"/>
      <c r="C38" s="187" t="s">
        <v>106</v>
      </c>
      <c r="D38" s="187"/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70"/>
      <c r="N38" s="63"/>
      <c r="O38" s="63"/>
      <c r="P38" s="68"/>
      <c r="Q38" s="63"/>
      <c r="R38" s="63"/>
      <c r="S38" s="63"/>
      <c r="T38" s="63"/>
      <c r="U38" s="63"/>
    </row>
    <row r="39" spans="1:21" ht="28.5" customHeight="1">
      <c r="A39" s="196"/>
      <c r="B39" s="196"/>
      <c r="C39" s="187" t="s">
        <v>102</v>
      </c>
      <c r="D39" s="187"/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70"/>
      <c r="N39" s="63"/>
      <c r="O39" s="63"/>
      <c r="P39" s="68"/>
      <c r="Q39" s="63"/>
      <c r="R39" s="63"/>
      <c r="S39" s="63"/>
      <c r="T39" s="63"/>
      <c r="U39" s="63"/>
    </row>
    <row r="40" spans="1:21" ht="30.75" customHeight="1">
      <c r="A40" s="196"/>
      <c r="B40" s="196"/>
      <c r="C40" s="187" t="s">
        <v>107</v>
      </c>
      <c r="D40" s="187"/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70"/>
      <c r="N40" s="63"/>
      <c r="O40" s="63"/>
      <c r="P40" s="68"/>
      <c r="Q40" s="63"/>
      <c r="R40" s="63"/>
      <c r="S40" s="63"/>
      <c r="T40" s="63"/>
      <c r="U40" s="63"/>
    </row>
    <row r="41" spans="1:21" ht="24" customHeight="1">
      <c r="A41" s="196"/>
      <c r="B41" s="196"/>
      <c r="C41" s="187" t="s">
        <v>108</v>
      </c>
      <c r="D41" s="187"/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70"/>
      <c r="N41" s="63"/>
      <c r="O41" s="63"/>
      <c r="P41" s="68"/>
      <c r="Q41" s="63"/>
      <c r="R41" s="63"/>
      <c r="S41" s="63"/>
      <c r="T41" s="63"/>
      <c r="U41" s="63"/>
    </row>
    <row r="42" spans="1:21" ht="24" customHeight="1">
      <c r="A42" s="204"/>
      <c r="B42" s="204"/>
      <c r="C42" s="187" t="s">
        <v>104</v>
      </c>
      <c r="D42" s="187"/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70"/>
      <c r="N42" s="63"/>
      <c r="O42" s="63"/>
      <c r="P42" s="68"/>
      <c r="Q42" s="63"/>
      <c r="R42" s="63"/>
      <c r="S42" s="63"/>
      <c r="T42" s="63"/>
      <c r="U42" s="63"/>
    </row>
    <row r="43" spans="1:21" ht="15.75" customHeight="1">
      <c r="A43" s="195" t="s">
        <v>226</v>
      </c>
      <c r="B43" s="195" t="s">
        <v>236</v>
      </c>
      <c r="C43" s="187" t="s">
        <v>105</v>
      </c>
      <c r="D43" s="187"/>
      <c r="E43" s="60">
        <f>SUM(E44:E51)</f>
        <v>0</v>
      </c>
      <c r="F43" s="60">
        <f aca="true" t="shared" si="6" ref="F43:K43">SUM(F44:F51)</f>
        <v>0</v>
      </c>
      <c r="G43" s="60">
        <f t="shared" si="6"/>
        <v>0</v>
      </c>
      <c r="H43" s="60">
        <f t="shared" si="6"/>
        <v>0</v>
      </c>
      <c r="I43" s="60">
        <f t="shared" si="6"/>
        <v>0</v>
      </c>
      <c r="J43" s="60">
        <f t="shared" si="6"/>
        <v>0</v>
      </c>
      <c r="K43" s="60">
        <f t="shared" si="6"/>
        <v>0</v>
      </c>
      <c r="L43" s="70"/>
      <c r="N43" s="63"/>
      <c r="O43" s="63"/>
      <c r="P43" s="68"/>
      <c r="Q43" s="63"/>
      <c r="R43" s="63"/>
      <c r="S43" s="63"/>
      <c r="T43" s="63"/>
      <c r="U43" s="63"/>
    </row>
    <row r="44" spans="1:21" ht="40.5" customHeight="1">
      <c r="A44" s="196"/>
      <c r="B44" s="196"/>
      <c r="C44" s="187" t="s">
        <v>97</v>
      </c>
      <c r="D44" s="65" t="s">
        <v>130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70"/>
      <c r="N44" s="63"/>
      <c r="O44" s="63"/>
      <c r="P44" s="68"/>
      <c r="Q44" s="63"/>
      <c r="R44" s="63"/>
      <c r="S44" s="63"/>
      <c r="T44" s="63"/>
      <c r="U44" s="63"/>
    </row>
    <row r="45" spans="1:21" ht="40.5" customHeight="1">
      <c r="A45" s="196"/>
      <c r="B45" s="196"/>
      <c r="C45" s="187"/>
      <c r="D45" s="65" t="s">
        <v>131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70"/>
      <c r="N45" s="63"/>
      <c r="O45" s="63"/>
      <c r="P45" s="68"/>
      <c r="Q45" s="63"/>
      <c r="R45" s="63"/>
      <c r="S45" s="63"/>
      <c r="T45" s="63"/>
      <c r="U45" s="63"/>
    </row>
    <row r="46" spans="1:21" ht="55.5" customHeight="1">
      <c r="A46" s="196"/>
      <c r="B46" s="196"/>
      <c r="C46" s="187"/>
      <c r="D46" s="65" t="s">
        <v>134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70"/>
      <c r="N46" s="63"/>
      <c r="O46" s="63"/>
      <c r="P46" s="68"/>
      <c r="Q46" s="63"/>
      <c r="R46" s="63"/>
      <c r="S46" s="63"/>
      <c r="T46" s="63"/>
      <c r="U46" s="63"/>
    </row>
    <row r="47" spans="1:21" ht="15.75" customHeight="1">
      <c r="A47" s="196"/>
      <c r="B47" s="196"/>
      <c r="C47" s="187" t="s">
        <v>106</v>
      </c>
      <c r="D47" s="187"/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70"/>
      <c r="N47" s="63"/>
      <c r="O47" s="63"/>
      <c r="P47" s="68"/>
      <c r="Q47" s="63"/>
      <c r="R47" s="63"/>
      <c r="S47" s="63"/>
      <c r="T47" s="63"/>
      <c r="U47" s="63"/>
    </row>
    <row r="48" spans="1:21" ht="27.75" customHeight="1">
      <c r="A48" s="196"/>
      <c r="B48" s="196"/>
      <c r="C48" s="187" t="s">
        <v>102</v>
      </c>
      <c r="D48" s="187"/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70"/>
      <c r="N48" s="63"/>
      <c r="O48" s="63"/>
      <c r="P48" s="68"/>
      <c r="Q48" s="63"/>
      <c r="R48" s="63"/>
      <c r="S48" s="63"/>
      <c r="T48" s="63"/>
      <c r="U48" s="63"/>
    </row>
    <row r="49" spans="1:21" ht="30.75" customHeight="1">
      <c r="A49" s="196"/>
      <c r="B49" s="196"/>
      <c r="C49" s="187" t="s">
        <v>107</v>
      </c>
      <c r="D49" s="187"/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70"/>
      <c r="N49" s="63"/>
      <c r="O49" s="63"/>
      <c r="P49" s="68"/>
      <c r="Q49" s="63"/>
      <c r="R49" s="63"/>
      <c r="S49" s="63"/>
      <c r="T49" s="63"/>
      <c r="U49" s="63"/>
    </row>
    <row r="50" spans="1:21" ht="17.25" customHeight="1">
      <c r="A50" s="196"/>
      <c r="B50" s="196"/>
      <c r="C50" s="187" t="s">
        <v>108</v>
      </c>
      <c r="D50" s="187"/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70"/>
      <c r="N50" s="63"/>
      <c r="O50" s="63"/>
      <c r="P50" s="68"/>
      <c r="Q50" s="63"/>
      <c r="R50" s="63"/>
      <c r="S50" s="63"/>
      <c r="T50" s="63"/>
      <c r="U50" s="63"/>
    </row>
    <row r="51" spans="1:21" ht="19.5" customHeight="1">
      <c r="A51" s="204"/>
      <c r="B51" s="204"/>
      <c r="C51" s="187" t="s">
        <v>104</v>
      </c>
      <c r="D51" s="187"/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70"/>
      <c r="N51" s="63"/>
      <c r="O51" s="63"/>
      <c r="P51" s="68"/>
      <c r="Q51" s="63"/>
      <c r="R51" s="63"/>
      <c r="S51" s="63"/>
      <c r="T51" s="63"/>
      <c r="U51" s="63"/>
    </row>
    <row r="52" spans="1:21" ht="17.25" customHeight="1">
      <c r="A52" s="195" t="s">
        <v>227</v>
      </c>
      <c r="B52" s="195" t="s">
        <v>237</v>
      </c>
      <c r="C52" s="187" t="s">
        <v>105</v>
      </c>
      <c r="D52" s="187"/>
      <c r="E52" s="60">
        <f aca="true" t="shared" si="7" ref="E52:K52">SUM(E53:E60)</f>
        <v>0</v>
      </c>
      <c r="F52" s="60">
        <f t="shared" si="7"/>
        <v>0</v>
      </c>
      <c r="G52" s="60">
        <f t="shared" si="7"/>
        <v>0</v>
      </c>
      <c r="H52" s="60">
        <f t="shared" si="7"/>
        <v>0</v>
      </c>
      <c r="I52" s="60">
        <f t="shared" si="7"/>
        <v>0</v>
      </c>
      <c r="J52" s="60">
        <f t="shared" si="7"/>
        <v>0</v>
      </c>
      <c r="K52" s="60">
        <f t="shared" si="7"/>
        <v>0</v>
      </c>
      <c r="L52" s="70"/>
      <c r="N52" s="63"/>
      <c r="O52" s="63"/>
      <c r="P52" s="68"/>
      <c r="Q52" s="63"/>
      <c r="R52" s="63"/>
      <c r="S52" s="63"/>
      <c r="T52" s="63"/>
      <c r="U52" s="63"/>
    </row>
    <row r="53" spans="1:21" ht="41.25" customHeight="1">
      <c r="A53" s="196"/>
      <c r="B53" s="196"/>
      <c r="C53" s="187" t="s">
        <v>97</v>
      </c>
      <c r="D53" s="65" t="s">
        <v>130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70"/>
      <c r="N53" s="63"/>
      <c r="O53" s="63"/>
      <c r="P53" s="68"/>
      <c r="Q53" s="63"/>
      <c r="R53" s="63"/>
      <c r="S53" s="63"/>
      <c r="T53" s="63"/>
      <c r="U53" s="63"/>
    </row>
    <row r="54" spans="1:21" ht="40.5" customHeight="1">
      <c r="A54" s="196"/>
      <c r="B54" s="196"/>
      <c r="C54" s="187"/>
      <c r="D54" s="65" t="s">
        <v>131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70"/>
      <c r="N54" s="63"/>
      <c r="O54" s="63"/>
      <c r="P54" s="68"/>
      <c r="Q54" s="63"/>
      <c r="R54" s="63"/>
      <c r="S54" s="63"/>
      <c r="T54" s="63"/>
      <c r="U54" s="63"/>
    </row>
    <row r="55" spans="1:21" ht="55.5" customHeight="1">
      <c r="A55" s="196"/>
      <c r="B55" s="196"/>
      <c r="C55" s="187"/>
      <c r="D55" s="65" t="s">
        <v>134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70"/>
      <c r="N55" s="63"/>
      <c r="O55" s="63"/>
      <c r="P55" s="68"/>
      <c r="Q55" s="63"/>
      <c r="R55" s="63"/>
      <c r="S55" s="63"/>
      <c r="T55" s="63"/>
      <c r="U55" s="63"/>
    </row>
    <row r="56" spans="1:21" ht="15.75" customHeight="1">
      <c r="A56" s="196"/>
      <c r="B56" s="196"/>
      <c r="C56" s="187" t="s">
        <v>106</v>
      </c>
      <c r="D56" s="187"/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70"/>
      <c r="N56" s="63"/>
      <c r="O56" s="63"/>
      <c r="P56" s="68"/>
      <c r="Q56" s="63"/>
      <c r="R56" s="63"/>
      <c r="S56" s="63"/>
      <c r="T56" s="63"/>
      <c r="U56" s="63"/>
    </row>
    <row r="57" spans="1:21" ht="31.5" customHeight="1">
      <c r="A57" s="196"/>
      <c r="B57" s="196"/>
      <c r="C57" s="187" t="s">
        <v>102</v>
      </c>
      <c r="D57" s="187"/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70"/>
      <c r="N57" s="63"/>
      <c r="O57" s="63"/>
      <c r="P57" s="68"/>
      <c r="Q57" s="63"/>
      <c r="R57" s="63"/>
      <c r="S57" s="63"/>
      <c r="T57" s="63"/>
      <c r="U57" s="63"/>
    </row>
    <row r="58" spans="1:21" ht="30" customHeight="1">
      <c r="A58" s="196"/>
      <c r="B58" s="196"/>
      <c r="C58" s="187" t="s">
        <v>107</v>
      </c>
      <c r="D58" s="187"/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70"/>
      <c r="N58" s="63"/>
      <c r="O58" s="63"/>
      <c r="P58" s="68"/>
      <c r="Q58" s="63"/>
      <c r="R58" s="63"/>
      <c r="S58" s="63"/>
      <c r="T58" s="63"/>
      <c r="U58" s="63"/>
    </row>
    <row r="59" spans="1:21" ht="16.5" customHeight="1">
      <c r="A59" s="196"/>
      <c r="B59" s="196"/>
      <c r="C59" s="187" t="s">
        <v>108</v>
      </c>
      <c r="D59" s="187"/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70"/>
      <c r="N59" s="63"/>
      <c r="O59" s="63"/>
      <c r="P59" s="68"/>
      <c r="Q59" s="63"/>
      <c r="R59" s="63"/>
      <c r="S59" s="63"/>
      <c r="T59" s="63"/>
      <c r="U59" s="63"/>
    </row>
    <row r="60" spans="1:21" ht="18.75" customHeight="1">
      <c r="A60" s="204"/>
      <c r="B60" s="204"/>
      <c r="C60" s="187" t="s">
        <v>104</v>
      </c>
      <c r="D60" s="187"/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70"/>
      <c r="N60" s="63"/>
      <c r="O60" s="63"/>
      <c r="P60" s="68"/>
      <c r="Q60" s="63"/>
      <c r="R60" s="63"/>
      <c r="S60" s="63"/>
      <c r="T60" s="63"/>
      <c r="U60" s="63"/>
    </row>
    <row r="61" spans="1:21" ht="12.75">
      <c r="A61" s="187" t="s">
        <v>36</v>
      </c>
      <c r="B61" s="187" t="s">
        <v>127</v>
      </c>
      <c r="C61" s="187" t="s">
        <v>105</v>
      </c>
      <c r="D61" s="187"/>
      <c r="E61" s="60">
        <f>SUM(E62:E69)</f>
        <v>6602537.919790001</v>
      </c>
      <c r="F61" s="60">
        <f aca="true" t="shared" si="8" ref="F61:L61">SUM(F62:F69)</f>
        <v>6034899.76322</v>
      </c>
      <c r="G61" s="60">
        <f t="shared" si="8"/>
        <v>5958193</v>
      </c>
      <c r="H61" s="60">
        <f t="shared" si="8"/>
        <v>4975365.8</v>
      </c>
      <c r="I61" s="60">
        <f t="shared" si="8"/>
        <v>4975365.8</v>
      </c>
      <c r="J61" s="60">
        <f t="shared" si="8"/>
        <v>4975365.8</v>
      </c>
      <c r="K61" s="60">
        <f t="shared" si="8"/>
        <v>4975365.8</v>
      </c>
      <c r="L61" s="66" t="e">
        <f t="shared" si="8"/>
        <v>#REF!</v>
      </c>
      <c r="N61" s="63" t="e">
        <f>N62+N63</f>
        <v>#VALUE!</v>
      </c>
      <c r="O61" s="63">
        <f>O62+O63</f>
        <v>6034899.76322</v>
      </c>
      <c r="P61" s="64"/>
      <c r="Q61" s="63"/>
      <c r="R61" s="63"/>
      <c r="S61" s="63"/>
      <c r="T61" s="63"/>
      <c r="U61" s="63"/>
    </row>
    <row r="62" spans="1:21" ht="44.25" customHeight="1">
      <c r="A62" s="187"/>
      <c r="B62" s="187"/>
      <c r="C62" s="187" t="s">
        <v>97</v>
      </c>
      <c r="D62" s="65" t="s">
        <v>130</v>
      </c>
      <c r="E62" s="60">
        <f>'Приложение 4 '!H34+'Приложение 4 '!H35+'Приложение 4 '!H36+'Приложение 4 '!H37-'Приложение 4 '!H43-'Приложение 4 '!H50-'Приложение 4 '!H63-'Приложение 4 '!H64-'Приложение 4 '!H68-'Приложение 4 '!H77</f>
        <v>6111684.8029000005</v>
      </c>
      <c r="F62" s="60">
        <f>'Приложение 4 '!I34+'Приложение 4 '!I35+'Приложение 4 '!I36+'Приложение 4 '!I37-'Приложение 4 '!I50-'Приложение 4 '!I63-'Приложение 4 '!I67-'Приложение 4 '!I70-'Приложение 4 '!I71-'Приложение 4 '!I77</f>
        <v>5769976</v>
      </c>
      <c r="G62" s="60">
        <f>G71+G80+G89+G98+G107+G143</f>
        <v>5958193</v>
      </c>
      <c r="H62" s="60">
        <f>'Приложение 4 '!K34+'Приложение 4 '!K35+'Приложение 4 '!K36+'Приложение 4 '!K37-'Приложение 4 '!K50-'Приложение 4 '!K63-'Приложение 4 '!K67-'Приложение 4 '!K70-'Приложение 4 '!K71-'Приложение 4 '!K77</f>
        <v>4975365.8</v>
      </c>
      <c r="I62" s="60">
        <f>'Приложение 4 '!L34+'Приложение 4 '!L35+'Приложение 4 '!L36+'Приложение 4 '!L37-'Приложение 4 '!L50-'Приложение 4 '!L63-'Приложение 4 '!L67-'Приложение 4 '!L70-'Приложение 4 '!L71-'Приложение 4 '!L77</f>
        <v>4975365.8</v>
      </c>
      <c r="J62" s="60">
        <f>'Приложение 4 '!M34+'Приложение 4 '!M35+'Приложение 4 '!M36+'Приложение 4 '!M37-'Приложение 4 '!M50-'Приложение 4 '!M63-'Приложение 4 '!M67-'Приложение 4 '!M70-'Приложение 4 '!M71-'Приложение 4 '!M77</f>
        <v>4975365.8</v>
      </c>
      <c r="K62" s="60">
        <f>'Приложение 4 '!N34+'Приложение 4 '!N35+'Приложение 4 '!N36+'Приложение 4 '!N37-'Приложение 4 '!N50-'Приложение 4 '!N63-'Приложение 4 '!N67-'Приложение 4 '!N70-'Приложение 4 '!N71-'Приложение 4 '!N77</f>
        <v>4975365.8</v>
      </c>
      <c r="L62" s="66"/>
      <c r="M62" s="119">
        <f>E62-N62</f>
        <v>0.003110000863671303</v>
      </c>
      <c r="N62" s="63">
        <f aca="true" t="shared" si="9" ref="N62:O64">E71+E80+E89+E98+E107+E143</f>
        <v>6111684.79979</v>
      </c>
      <c r="O62" s="63">
        <f t="shared" si="9"/>
        <v>5769976</v>
      </c>
      <c r="P62" s="64">
        <f>O62-F62</f>
        <v>0</v>
      </c>
      <c r="Q62" s="63"/>
      <c r="R62" s="63"/>
      <c r="S62" s="63"/>
      <c r="T62" s="63"/>
      <c r="U62" s="63"/>
    </row>
    <row r="63" spans="1:21" ht="45" customHeight="1">
      <c r="A63" s="187"/>
      <c r="B63" s="187"/>
      <c r="C63" s="187"/>
      <c r="D63" s="65" t="s">
        <v>131</v>
      </c>
      <c r="E63" s="77">
        <f>'Приложение 4 '!H43+'Приложение 4 '!H50+'Приложение 4 '!H63+'Приложение 4 '!H64+'Приложение 4 '!H68+'Приложение 4 '!H77</f>
        <v>490853.11689</v>
      </c>
      <c r="F63" s="60">
        <f>'Приложение 4 '!I50+'Приложение 4 '!I63+'Приложение 4 '!I67+'Приложение 4 '!I70+'Приложение 4 '!I71+'Приложение 4 '!I77</f>
        <v>264923.76321999996</v>
      </c>
      <c r="G63" s="60">
        <f>'Приложение 4 '!J50+'Приложение 4 '!J63+'Приложение 4 '!J67+'Приложение 4 '!J70+'Приложение 4 '!J71+'Приложение 4 '!J77</f>
        <v>0</v>
      </c>
      <c r="H63" s="60">
        <f>'Приложение 4 '!K50+'Приложение 4 '!K63+'Приложение 4 '!K67+'Приложение 4 '!K70+'Приложение 4 '!K71+'Приложение 4 '!K77</f>
        <v>0</v>
      </c>
      <c r="I63" s="60">
        <f>'Приложение 4 '!L50+'Приложение 4 '!L63+'Приложение 4 '!L67+'Приложение 4 '!L70+'Приложение 4 '!L71+'Приложение 4 '!L77</f>
        <v>0</v>
      </c>
      <c r="J63" s="60">
        <f>'Приложение 4 '!M50+'Приложение 4 '!M63+'Приложение 4 '!M67+'Приложение 4 '!M70+'Приложение 4 '!M71+'Приложение 4 '!M77</f>
        <v>0</v>
      </c>
      <c r="K63" s="60">
        <f>'Приложение 4 '!N50+'Приложение 4 '!N63+'Приложение 4 '!N67+'Приложение 4 '!N70+'Приложение 4 '!N71+'Приложение 4 '!N77</f>
        <v>0</v>
      </c>
      <c r="L63" s="66"/>
      <c r="M63" s="119" t="e">
        <f>E63-N63</f>
        <v>#VALUE!</v>
      </c>
      <c r="N63" s="63" t="e">
        <f t="shared" si="9"/>
        <v>#VALUE!</v>
      </c>
      <c r="O63" s="63">
        <f t="shared" si="9"/>
        <v>264923.76321999996</v>
      </c>
      <c r="P63" s="64">
        <f>O63-F63</f>
        <v>0</v>
      </c>
      <c r="Q63" s="63"/>
      <c r="R63" s="63"/>
      <c r="S63" s="63"/>
      <c r="T63" s="63"/>
      <c r="U63" s="63"/>
    </row>
    <row r="64" spans="1:21" ht="67.5" customHeight="1">
      <c r="A64" s="187"/>
      <c r="B64" s="187"/>
      <c r="C64" s="187"/>
      <c r="D64" s="65" t="s">
        <v>132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6"/>
      <c r="M64" s="71"/>
      <c r="N64" s="63">
        <f t="shared" si="9"/>
        <v>0</v>
      </c>
      <c r="O64" s="63">
        <f t="shared" si="9"/>
        <v>0</v>
      </c>
      <c r="P64" s="68"/>
      <c r="Q64" s="63"/>
      <c r="R64" s="63"/>
      <c r="S64" s="63"/>
      <c r="T64" s="63"/>
      <c r="U64" s="63"/>
    </row>
    <row r="65" spans="1:21" ht="17.25" customHeight="1">
      <c r="A65" s="187"/>
      <c r="B65" s="187"/>
      <c r="C65" s="187" t="s">
        <v>106</v>
      </c>
      <c r="D65" s="187"/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70" t="e">
        <f>'[2]РАБ_БЮДЖ'!J18</f>
        <v>#REF!</v>
      </c>
      <c r="N65" s="63"/>
      <c r="O65" s="63"/>
      <c r="P65" s="68"/>
      <c r="Q65" s="63"/>
      <c r="R65" s="63"/>
      <c r="S65" s="63"/>
      <c r="T65" s="63"/>
      <c r="U65" s="63"/>
    </row>
    <row r="66" spans="1:21" ht="25.5" customHeight="1">
      <c r="A66" s="187"/>
      <c r="B66" s="187"/>
      <c r="C66" s="187" t="s">
        <v>102</v>
      </c>
      <c r="D66" s="187"/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70">
        <v>0</v>
      </c>
      <c r="N66" s="63"/>
      <c r="O66" s="63"/>
      <c r="P66" s="68"/>
      <c r="Q66" s="63"/>
      <c r="R66" s="63"/>
      <c r="S66" s="63"/>
      <c r="T66" s="63"/>
      <c r="U66" s="63"/>
    </row>
    <row r="67" spans="1:21" ht="27" customHeight="1">
      <c r="A67" s="187"/>
      <c r="B67" s="187"/>
      <c r="C67" s="187" t="s">
        <v>107</v>
      </c>
      <c r="D67" s="187"/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70">
        <v>0</v>
      </c>
      <c r="N67" s="63"/>
      <c r="O67" s="63"/>
      <c r="P67" s="68"/>
      <c r="Q67" s="63"/>
      <c r="R67" s="63"/>
      <c r="S67" s="63"/>
      <c r="T67" s="63"/>
      <c r="U67" s="63"/>
    </row>
    <row r="68" spans="1:21" ht="12.75">
      <c r="A68" s="187"/>
      <c r="B68" s="187"/>
      <c r="C68" s="187" t="s">
        <v>108</v>
      </c>
      <c r="D68" s="187"/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70" t="e">
        <f>'[2]РАБ_БЮДЖ'!J19</f>
        <v>#REF!</v>
      </c>
      <c r="N68" s="63"/>
      <c r="O68" s="63"/>
      <c r="P68" s="68"/>
      <c r="Q68" s="63"/>
      <c r="R68" s="63"/>
      <c r="S68" s="63"/>
      <c r="T68" s="63"/>
      <c r="U68" s="63"/>
    </row>
    <row r="69" spans="1:21" ht="12.75">
      <c r="A69" s="187"/>
      <c r="B69" s="187"/>
      <c r="C69" s="187" t="s">
        <v>104</v>
      </c>
      <c r="D69" s="187"/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70" t="e">
        <f>'[2]РАБ_БЮДЖ'!J17</f>
        <v>#REF!</v>
      </c>
      <c r="N69" s="63"/>
      <c r="O69" s="63"/>
      <c r="P69" s="68"/>
      <c r="Q69" s="63"/>
      <c r="R69" s="63"/>
      <c r="S69" s="63"/>
      <c r="T69" s="63"/>
      <c r="U69" s="63"/>
    </row>
    <row r="70" spans="1:21" ht="12.75">
      <c r="A70" s="195" t="s">
        <v>228</v>
      </c>
      <c r="B70" s="195" t="s">
        <v>238</v>
      </c>
      <c r="C70" s="187" t="s">
        <v>105</v>
      </c>
      <c r="D70" s="187"/>
      <c r="E70" s="60">
        <f>SUM(E71:E78)</f>
        <v>1459477</v>
      </c>
      <c r="F70" s="60">
        <f aca="true" t="shared" si="10" ref="F70:K70">SUM(F71:F78)</f>
        <v>1592630.5</v>
      </c>
      <c r="G70" s="60">
        <f t="shared" si="10"/>
        <v>2075496.5</v>
      </c>
      <c r="H70" s="60">
        <f t="shared" si="10"/>
        <v>1351310.8</v>
      </c>
      <c r="I70" s="60">
        <f t="shared" si="10"/>
        <v>1351310.8</v>
      </c>
      <c r="J70" s="60">
        <f t="shared" si="10"/>
        <v>1351310.8</v>
      </c>
      <c r="K70" s="60">
        <f t="shared" si="10"/>
        <v>1351310.8</v>
      </c>
      <c r="L70" s="70"/>
      <c r="N70" s="63"/>
      <c r="O70" s="63"/>
      <c r="P70" s="68"/>
      <c r="Q70" s="63"/>
      <c r="R70" s="63"/>
      <c r="S70" s="63"/>
      <c r="T70" s="63"/>
      <c r="U70" s="63"/>
    </row>
    <row r="71" spans="1:21" ht="38.25">
      <c r="A71" s="196"/>
      <c r="B71" s="196"/>
      <c r="C71" s="187" t="s">
        <v>97</v>
      </c>
      <c r="D71" s="65" t="s">
        <v>130</v>
      </c>
      <c r="E71" s="60">
        <f>'Приложение 4'!H40+'Приложение 4'!H41+'Приложение 4'!H42+'Приложение 4'!H44+'Приложение 4'!H43</f>
        <v>1459477</v>
      </c>
      <c r="F71" s="60">
        <f>'Приложение 4'!I40+'Приложение 4'!I41+'Приложение 4'!I42+'Приложение 4'!I43+'Приложение 4'!I44</f>
        <v>1592630.5</v>
      </c>
      <c r="G71" s="60">
        <f>'Приложение 4'!J40+'Приложение 4'!J41+'Приложение 4'!J42+'Приложение 4'!J43+'Приложение 4'!J44</f>
        <v>2075496.5</v>
      </c>
      <c r="H71" s="60">
        <f>'Приложение 4'!K40+'Приложение 4'!K41+'Приложение 4'!K42+'Приложение 4'!K43+'Приложение 4'!K44</f>
        <v>1351310.8</v>
      </c>
      <c r="I71" s="60">
        <f>'Приложение 4'!L40+'Приложение 4'!L41+'Приложение 4'!L42+'Приложение 4'!L43+'Приложение 4'!L44</f>
        <v>1351310.8</v>
      </c>
      <c r="J71" s="60">
        <f>'Приложение 4'!M40+'Приложение 4'!M41+'Приложение 4'!M42+'Приложение 4'!M43+'Приложение 4'!M44</f>
        <v>1351310.8</v>
      </c>
      <c r="K71" s="60">
        <f>'Приложение 4'!N40+'Приложение 4'!N41+'Приложение 4'!N42+'Приложение 4'!N43+'Приложение 4'!N44</f>
        <v>1351310.8</v>
      </c>
      <c r="L71" s="70"/>
      <c r="N71" s="63">
        <f>'Приложение 4'!H40+'Приложение 4'!H41+'Приложение 4'!H42+'Приложение 4'!H43+'Приложение 4'!H44</f>
        <v>1459477</v>
      </c>
      <c r="O71" s="63"/>
      <c r="P71" s="68"/>
      <c r="Q71" s="63"/>
      <c r="R71" s="63"/>
      <c r="S71" s="63"/>
      <c r="T71" s="63"/>
      <c r="U71" s="63"/>
    </row>
    <row r="72" spans="1:21" ht="38.25">
      <c r="A72" s="196"/>
      <c r="B72" s="196"/>
      <c r="C72" s="187"/>
      <c r="D72" s="65" t="s">
        <v>131</v>
      </c>
      <c r="E72" s="117" t="s">
        <v>219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70"/>
      <c r="N72" s="63"/>
      <c r="O72" s="63"/>
      <c r="P72" s="68"/>
      <c r="Q72" s="63"/>
      <c r="R72" s="63"/>
      <c r="S72" s="63"/>
      <c r="T72" s="63"/>
      <c r="U72" s="63"/>
    </row>
    <row r="73" spans="1:21" ht="51">
      <c r="A73" s="196"/>
      <c r="B73" s="196"/>
      <c r="C73" s="187"/>
      <c r="D73" s="65" t="s">
        <v>132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70"/>
      <c r="N73" s="63"/>
      <c r="O73" s="63"/>
      <c r="P73" s="68"/>
      <c r="Q73" s="63"/>
      <c r="R73" s="63"/>
      <c r="S73" s="63"/>
      <c r="T73" s="63"/>
      <c r="U73" s="63"/>
    </row>
    <row r="74" spans="1:21" ht="12.75" customHeight="1">
      <c r="A74" s="196"/>
      <c r="B74" s="196"/>
      <c r="C74" s="187" t="s">
        <v>106</v>
      </c>
      <c r="D74" s="187"/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70"/>
      <c r="N74" s="63"/>
      <c r="O74" s="63"/>
      <c r="P74" s="68"/>
      <c r="Q74" s="63"/>
      <c r="R74" s="63"/>
      <c r="S74" s="63"/>
      <c r="T74" s="63"/>
      <c r="U74" s="63"/>
    </row>
    <row r="75" spans="1:21" ht="24.75" customHeight="1">
      <c r="A75" s="196"/>
      <c r="B75" s="196"/>
      <c r="C75" s="187" t="s">
        <v>102</v>
      </c>
      <c r="D75" s="187"/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70"/>
      <c r="N75" s="63"/>
      <c r="O75" s="63"/>
      <c r="P75" s="68"/>
      <c r="Q75" s="63"/>
      <c r="R75" s="63"/>
      <c r="S75" s="63"/>
      <c r="T75" s="63"/>
      <c r="U75" s="63"/>
    </row>
    <row r="76" spans="1:21" ht="12.75" customHeight="1">
      <c r="A76" s="196"/>
      <c r="B76" s="196"/>
      <c r="C76" s="187" t="s">
        <v>107</v>
      </c>
      <c r="D76" s="187"/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70"/>
      <c r="N76" s="63"/>
      <c r="O76" s="63"/>
      <c r="P76" s="68"/>
      <c r="Q76" s="63"/>
      <c r="R76" s="63"/>
      <c r="S76" s="63"/>
      <c r="T76" s="63"/>
      <c r="U76" s="63"/>
    </row>
    <row r="77" spans="1:21" ht="12.75" customHeight="1">
      <c r="A77" s="196"/>
      <c r="B77" s="196"/>
      <c r="C77" s="187" t="s">
        <v>108</v>
      </c>
      <c r="D77" s="187"/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70"/>
      <c r="N77" s="63"/>
      <c r="O77" s="63"/>
      <c r="P77" s="68"/>
      <c r="Q77" s="63"/>
      <c r="R77" s="63"/>
      <c r="S77" s="63"/>
      <c r="T77" s="63"/>
      <c r="U77" s="63"/>
    </row>
    <row r="78" spans="1:21" ht="12.75" customHeight="1">
      <c r="A78" s="204"/>
      <c r="B78" s="204"/>
      <c r="C78" s="187" t="s">
        <v>104</v>
      </c>
      <c r="D78" s="187"/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70"/>
      <c r="N78" s="63"/>
      <c r="O78" s="63"/>
      <c r="P78" s="68"/>
      <c r="Q78" s="63"/>
      <c r="R78" s="63"/>
      <c r="S78" s="63"/>
      <c r="T78" s="63"/>
      <c r="U78" s="63"/>
    </row>
    <row r="79" spans="1:21" ht="12.75" customHeight="1">
      <c r="A79" s="195" t="s">
        <v>230</v>
      </c>
      <c r="B79" s="195" t="s">
        <v>250</v>
      </c>
      <c r="C79" s="187" t="s">
        <v>105</v>
      </c>
      <c r="D79" s="187"/>
      <c r="E79" s="60">
        <f>E80+E81+E82+E83+E84+E85+E86+E87</f>
        <v>4445644.23186</v>
      </c>
      <c r="F79" s="60">
        <f aca="true" t="shared" si="11" ref="F79:K79">F80+F81+F82+F83+F84+F85+F86+F87</f>
        <v>3992022.0999999996</v>
      </c>
      <c r="G79" s="60">
        <f t="shared" si="11"/>
        <v>3632487.7</v>
      </c>
      <c r="H79" s="60">
        <f t="shared" si="11"/>
        <v>3522253.4</v>
      </c>
      <c r="I79" s="60">
        <f t="shared" si="11"/>
        <v>3522253.4</v>
      </c>
      <c r="J79" s="60">
        <f t="shared" si="11"/>
        <v>3522253.4</v>
      </c>
      <c r="K79" s="60">
        <f t="shared" si="11"/>
        <v>3522253.4</v>
      </c>
      <c r="L79" s="70"/>
      <c r="N79" s="63"/>
      <c r="O79" s="63"/>
      <c r="P79" s="68"/>
      <c r="Q79" s="63"/>
      <c r="R79" s="63"/>
      <c r="S79" s="63"/>
      <c r="T79" s="63"/>
      <c r="U79" s="63"/>
    </row>
    <row r="80" spans="1:21" ht="42" customHeight="1">
      <c r="A80" s="196"/>
      <c r="B80" s="196"/>
      <c r="C80" s="187" t="s">
        <v>97</v>
      </c>
      <c r="D80" s="65" t="s">
        <v>130</v>
      </c>
      <c r="E80" s="60">
        <f>'Приложение 4'!H46+'Приложение 4'!H48+'Приложение 4'!H49+'Приложение 4'!H50+'Приложение 4'!H51+'Приложение 4'!H52+'Приложение 4'!H53+'Приложение 4'!H55+'Приложение 4'!H56+'Приложение 4'!H57+'Приложение 4'!H58+'Приложение 4'!H59+'Приложение 4'!H60</f>
        <v>4349632.73186</v>
      </c>
      <c r="F80" s="60">
        <f>'Приложение 4'!I46+'Приложение 4'!I48+'Приложение 4'!I49+'Приложение 4'!I50+'Приложение 4'!I51+'Приложение 4'!I52+'Приложение 4'!I53+'Приложение 4'!I55+'Приложение 4'!I56+'Приложение 4'!I57+'Приложение 4'!I58+'Приложение 4'!I59+'Приложение 4'!I60</f>
        <v>3919084.3</v>
      </c>
      <c r="G80" s="60">
        <f>'Приложение 4'!J45</f>
        <v>3632487.7</v>
      </c>
      <c r="H80" s="60">
        <f>'Приложение 4'!K45</f>
        <v>3522253.4</v>
      </c>
      <c r="I80" s="60">
        <f>'Приложение 4'!L45</f>
        <v>3522253.4</v>
      </c>
      <c r="J80" s="60">
        <f>'Приложение 4'!M45</f>
        <v>3522253.4</v>
      </c>
      <c r="K80" s="60">
        <f>'Приложение 4'!N45</f>
        <v>3522253.4</v>
      </c>
      <c r="L80" s="70"/>
      <c r="N80" s="63">
        <f>'Приложение 4'!H46+'Приложение 4'!H48+'Приложение 4'!H49+'Приложение 4'!H50+'Приложение 4'!H51+'Приложение 4'!H52+'Приложение 4'!H53+'Приложение 4'!H55+'Приложение 4'!H56+'Приложение 4'!H57+'Приложение 4'!H58+'Приложение 4'!H59+'Приложение 4'!H60</f>
        <v>4349632.73186</v>
      </c>
      <c r="O80" s="63"/>
      <c r="P80" s="68"/>
      <c r="Q80" s="63"/>
      <c r="R80" s="63"/>
      <c r="S80" s="63"/>
      <c r="T80" s="63"/>
      <c r="U80" s="63"/>
    </row>
    <row r="81" spans="1:21" ht="42" customHeight="1">
      <c r="A81" s="196"/>
      <c r="B81" s="196"/>
      <c r="C81" s="187"/>
      <c r="D81" s="65" t="s">
        <v>131</v>
      </c>
      <c r="E81" s="118">
        <f>'Приложение 4'!H47+'Приложение 4'!H54</f>
        <v>96011.5</v>
      </c>
      <c r="F81" s="60">
        <f>'Приложение 4'!I47+'Приложение 4'!I54</f>
        <v>72937.8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70"/>
      <c r="M81" s="71"/>
      <c r="N81" s="63">
        <f>'Приложение 4'!H50</f>
        <v>9709</v>
      </c>
      <c r="O81" s="63"/>
      <c r="P81" s="68"/>
      <c r="Q81" s="63"/>
      <c r="R81" s="63"/>
      <c r="S81" s="63"/>
      <c r="T81" s="63"/>
      <c r="U81" s="63"/>
    </row>
    <row r="82" spans="1:21" ht="54.75" customHeight="1">
      <c r="A82" s="196"/>
      <c r="B82" s="196"/>
      <c r="C82" s="187"/>
      <c r="D82" s="65" t="s">
        <v>132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70"/>
      <c r="N82" s="63"/>
      <c r="O82" s="63"/>
      <c r="P82" s="68"/>
      <c r="Q82" s="63"/>
      <c r="R82" s="63"/>
      <c r="S82" s="63"/>
      <c r="T82" s="63"/>
      <c r="U82" s="63"/>
    </row>
    <row r="83" spans="1:21" ht="12.75" customHeight="1">
      <c r="A83" s="196"/>
      <c r="B83" s="196"/>
      <c r="C83" s="187" t="s">
        <v>106</v>
      </c>
      <c r="D83" s="187"/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70"/>
      <c r="N83" s="63"/>
      <c r="O83" s="63"/>
      <c r="P83" s="68"/>
      <c r="Q83" s="63"/>
      <c r="R83" s="63"/>
      <c r="S83" s="63"/>
      <c r="T83" s="63"/>
      <c r="U83" s="63"/>
    </row>
    <row r="84" spans="1:21" ht="27" customHeight="1">
      <c r="A84" s="196"/>
      <c r="B84" s="196"/>
      <c r="C84" s="187" t="s">
        <v>102</v>
      </c>
      <c r="D84" s="187"/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70"/>
      <c r="N84" s="63"/>
      <c r="O84" s="63"/>
      <c r="P84" s="68"/>
      <c r="Q84" s="63"/>
      <c r="R84" s="63"/>
      <c r="S84" s="63"/>
      <c r="T84" s="63"/>
      <c r="U84" s="63"/>
    </row>
    <row r="85" spans="1:21" ht="12.75" customHeight="1">
      <c r="A85" s="196"/>
      <c r="B85" s="196"/>
      <c r="C85" s="187" t="s">
        <v>107</v>
      </c>
      <c r="D85" s="187"/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70"/>
      <c r="N85" s="63"/>
      <c r="O85" s="63"/>
      <c r="P85" s="68"/>
      <c r="Q85" s="63"/>
      <c r="R85" s="63"/>
      <c r="S85" s="63"/>
      <c r="T85" s="63"/>
      <c r="U85" s="63"/>
    </row>
    <row r="86" spans="1:21" ht="17.25" customHeight="1">
      <c r="A86" s="196"/>
      <c r="B86" s="196"/>
      <c r="C86" s="187" t="s">
        <v>108</v>
      </c>
      <c r="D86" s="187"/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70"/>
      <c r="N86" s="63"/>
      <c r="O86" s="63"/>
      <c r="P86" s="68"/>
      <c r="Q86" s="63"/>
      <c r="R86" s="63"/>
      <c r="S86" s="63"/>
      <c r="T86" s="63"/>
      <c r="U86" s="63"/>
    </row>
    <row r="87" spans="1:21" ht="16.5" customHeight="1">
      <c r="A87" s="204"/>
      <c r="B87" s="204"/>
      <c r="C87" s="187" t="s">
        <v>104</v>
      </c>
      <c r="D87" s="187"/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70"/>
      <c r="N87" s="63"/>
      <c r="O87" s="63"/>
      <c r="P87" s="68"/>
      <c r="Q87" s="63"/>
      <c r="R87" s="63"/>
      <c r="S87" s="63"/>
      <c r="T87" s="63"/>
      <c r="U87" s="63"/>
    </row>
    <row r="88" spans="1:21" ht="16.5" customHeight="1">
      <c r="A88" s="195" t="s">
        <v>229</v>
      </c>
      <c r="B88" s="195" t="s">
        <v>239</v>
      </c>
      <c r="C88" s="187" t="s">
        <v>105</v>
      </c>
      <c r="D88" s="187"/>
      <c r="E88" s="60">
        <f>E89+E90+E91+E92+E93+E94+E95+E96</f>
        <v>148058.1</v>
      </c>
      <c r="F88" s="60">
        <f aca="true" t="shared" si="12" ref="F88:K88">F89+F90+F91+F92+F93+F94+F95+F96</f>
        <v>147169.2</v>
      </c>
      <c r="G88" s="60">
        <f>SUM(G89+G90+G91+G92+G93+G94+G95+G96)</f>
        <v>101147.1</v>
      </c>
      <c r="H88" s="60">
        <f t="shared" si="12"/>
        <v>60989.899999999994</v>
      </c>
      <c r="I88" s="60">
        <f t="shared" si="12"/>
        <v>60989.899999999994</v>
      </c>
      <c r="J88" s="60">
        <f t="shared" si="12"/>
        <v>60989.899999999994</v>
      </c>
      <c r="K88" s="60">
        <f t="shared" si="12"/>
        <v>60989.899999999994</v>
      </c>
      <c r="L88" s="70"/>
      <c r="N88" s="63"/>
      <c r="O88" s="63"/>
      <c r="P88" s="68"/>
      <c r="Q88" s="63"/>
      <c r="R88" s="63"/>
      <c r="S88" s="63"/>
      <c r="T88" s="63"/>
      <c r="U88" s="63"/>
    </row>
    <row r="89" spans="1:21" ht="42" customHeight="1">
      <c r="A89" s="196"/>
      <c r="B89" s="196"/>
      <c r="C89" s="187" t="s">
        <v>97</v>
      </c>
      <c r="D89" s="65" t="s">
        <v>130</v>
      </c>
      <c r="E89" s="60">
        <f>'Приложение 4'!H62+'Приложение 4'!H63+'Приложение 4'!H64+'Приложение 4'!H66+'Приложение 4'!H67+'Приложение 4'!H68+'Приложение 4'!H70+'Приложение 4'!H71+'Приложение 4'!H72+'Приложение 4'!H73</f>
        <v>147558.1</v>
      </c>
      <c r="F89" s="60">
        <f>'Приложение 4'!I62+'Приложение 4'!I63+'Приложение 4'!I64+'Приложение 4'!I66+'Приложение 4'!I67+'Приложение 4'!I68+'Приложение 4'!I70+'Приложение 4'!I71+'Приложение 4'!I72+'Приложение 4'!I73</f>
        <v>146669.2</v>
      </c>
      <c r="G89" s="60">
        <f>'Приложение 4'!J62+'Приложение 4'!J63+'Приложение 4'!J64+'Приложение 4'!J66+'Приложение 4'!J67+'Приложение 4'!J68+'Приложение 4'!J69+'Приложение 4'!J70+'Приложение 4'!J71+'Приложение 4'!J72+'Приложение 4'!J73+'Приложение 4'!J65</f>
        <v>101147.1</v>
      </c>
      <c r="H89" s="60">
        <f>'Приложение 4'!K62+'Приложение 4'!K63+'Приложение 4'!K64+'Приложение 4'!K66+'Приложение 4'!K67+'Приложение 4'!K68+'Приложение 4'!K70+'Приложение 4'!K71+'Приложение 4'!K72+'Приложение 4'!K73</f>
        <v>60989.899999999994</v>
      </c>
      <c r="I89" s="60">
        <f>'Приложение 4'!L62+'Приложение 4'!L63+'Приложение 4'!L64+'Приложение 4'!L66+'Приложение 4'!L67+'Приложение 4'!L68+'Приложение 4'!L70+'Приложение 4'!L71+'Приложение 4'!L72+'Приложение 4'!L73</f>
        <v>60989.899999999994</v>
      </c>
      <c r="J89" s="60">
        <f>'Приложение 4'!M62+'Приложение 4'!M63+'Приложение 4'!M64+'Приложение 4'!M66+'Приложение 4'!M67+'Приложение 4'!M68+'Приложение 4'!M70+'Приложение 4'!M71+'Приложение 4'!M72+'Приложение 4'!M73</f>
        <v>60989.899999999994</v>
      </c>
      <c r="K89" s="60">
        <f>'Приложение 4'!N62+'Приложение 4'!N63+'Приложение 4'!N64+'Приложение 4'!N66+'Приложение 4'!N67+'Приложение 4'!N68+'Приложение 4'!N70+'Приложение 4'!N71+'Приложение 4'!N72+'Приложение 4'!N73</f>
        <v>60989.899999999994</v>
      </c>
      <c r="L89" s="70"/>
      <c r="N89" s="63">
        <f>'Приложение 4'!H62+'Приложение 4'!H63+'Приложение 4'!H64+'Приложение 4'!H66+'Приложение 4'!H67+'Приложение 4'!H68+'Приложение 4'!H70+'Приложение 4'!H71+'Приложение 4'!H72+'Приложение 4'!H73</f>
        <v>147558.1</v>
      </c>
      <c r="O89" s="63"/>
      <c r="P89" s="68"/>
      <c r="Q89" s="63"/>
      <c r="R89" s="63"/>
      <c r="S89" s="63"/>
      <c r="T89" s="63"/>
      <c r="U89" s="63"/>
    </row>
    <row r="90" spans="1:21" ht="41.25" customHeight="1">
      <c r="A90" s="196"/>
      <c r="B90" s="196"/>
      <c r="C90" s="187"/>
      <c r="D90" s="65" t="s">
        <v>131</v>
      </c>
      <c r="E90" s="117">
        <f>'Приложение 4'!H65</f>
        <v>500</v>
      </c>
      <c r="F90" s="60">
        <f>'Приложение 4'!I65</f>
        <v>500</v>
      </c>
      <c r="G90" s="60">
        <v>0</v>
      </c>
      <c r="H90" s="60">
        <f>'Приложение 4'!K65</f>
        <v>0</v>
      </c>
      <c r="I90" s="60">
        <f>'Приложение 4'!L65</f>
        <v>0</v>
      </c>
      <c r="J90" s="60">
        <f>'Приложение 4'!M65</f>
        <v>0</v>
      </c>
      <c r="K90" s="60">
        <f>'Приложение 4'!N65</f>
        <v>0</v>
      </c>
      <c r="L90" s="60" t="e">
        <f>'Приложение 4'!O65+'Приложение 4'!O69</f>
        <v>#VALUE!</v>
      </c>
      <c r="M90" s="119">
        <f>'Приложение 4'!H63+'Приложение 4'!H64+'Приложение 4'!H68</f>
        <v>22857.2</v>
      </c>
      <c r="N90" s="63">
        <f>'Приложение 4'!H65</f>
        <v>500</v>
      </c>
      <c r="O90" s="63"/>
      <c r="P90" s="68"/>
      <c r="Q90" s="63"/>
      <c r="R90" s="63"/>
      <c r="S90" s="63"/>
      <c r="T90" s="63"/>
      <c r="U90" s="63"/>
    </row>
    <row r="91" spans="1:21" ht="53.25" customHeight="1">
      <c r="A91" s="196"/>
      <c r="B91" s="196"/>
      <c r="C91" s="187"/>
      <c r="D91" s="65" t="s">
        <v>132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70"/>
      <c r="N91" s="63"/>
      <c r="O91" s="63"/>
      <c r="P91" s="68"/>
      <c r="Q91" s="63"/>
      <c r="R91" s="63"/>
      <c r="S91" s="63"/>
      <c r="T91" s="63"/>
      <c r="U91" s="63"/>
    </row>
    <row r="92" spans="1:21" ht="16.5" customHeight="1">
      <c r="A92" s="196"/>
      <c r="B92" s="196"/>
      <c r="C92" s="187" t="s">
        <v>106</v>
      </c>
      <c r="D92" s="187"/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70"/>
      <c r="N92" s="63"/>
      <c r="O92" s="63"/>
      <c r="P92" s="68"/>
      <c r="Q92" s="63"/>
      <c r="R92" s="63"/>
      <c r="S92" s="63"/>
      <c r="T92" s="63"/>
      <c r="U92" s="63"/>
    </row>
    <row r="93" spans="1:21" ht="30" customHeight="1">
      <c r="A93" s="196"/>
      <c r="B93" s="196"/>
      <c r="C93" s="187" t="s">
        <v>102</v>
      </c>
      <c r="D93" s="187"/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70"/>
      <c r="N93" s="63"/>
      <c r="O93" s="63"/>
      <c r="P93" s="68"/>
      <c r="Q93" s="63"/>
      <c r="R93" s="63"/>
      <c r="S93" s="63"/>
      <c r="T93" s="63"/>
      <c r="U93" s="63"/>
    </row>
    <row r="94" spans="1:21" ht="16.5" customHeight="1">
      <c r="A94" s="196"/>
      <c r="B94" s="196"/>
      <c r="C94" s="187" t="s">
        <v>107</v>
      </c>
      <c r="D94" s="187"/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70"/>
      <c r="N94" s="63"/>
      <c r="O94" s="63"/>
      <c r="P94" s="68"/>
      <c r="Q94" s="63"/>
      <c r="R94" s="63"/>
      <c r="S94" s="63"/>
      <c r="T94" s="63"/>
      <c r="U94" s="63"/>
    </row>
    <row r="95" spans="1:21" ht="16.5" customHeight="1">
      <c r="A95" s="196"/>
      <c r="B95" s="196"/>
      <c r="C95" s="187" t="s">
        <v>108</v>
      </c>
      <c r="D95" s="187"/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70"/>
      <c r="N95" s="63"/>
      <c r="O95" s="63"/>
      <c r="P95" s="68"/>
      <c r="Q95" s="63"/>
      <c r="R95" s="63"/>
      <c r="S95" s="63"/>
      <c r="T95" s="63"/>
      <c r="U95" s="63"/>
    </row>
    <row r="96" spans="1:21" ht="16.5" customHeight="1">
      <c r="A96" s="204"/>
      <c r="B96" s="204"/>
      <c r="C96" s="187" t="s">
        <v>104</v>
      </c>
      <c r="D96" s="187"/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70"/>
      <c r="N96" s="63"/>
      <c r="O96" s="63"/>
      <c r="P96" s="68"/>
      <c r="Q96" s="63"/>
      <c r="R96" s="63"/>
      <c r="S96" s="63"/>
      <c r="T96" s="63"/>
      <c r="U96" s="63"/>
    </row>
    <row r="97" spans="1:21" ht="16.5" customHeight="1">
      <c r="A97" s="195" t="s">
        <v>231</v>
      </c>
      <c r="B97" s="195" t="s">
        <v>240</v>
      </c>
      <c r="C97" s="187" t="s">
        <v>105</v>
      </c>
      <c r="D97" s="187"/>
      <c r="E97" s="60">
        <f>E98+E99+E100+E101+E102+E103+E104+E105</f>
        <v>46430.5</v>
      </c>
      <c r="F97" s="60">
        <f aca="true" t="shared" si="13" ref="F97:K97">F98+F99+F100+F101+F102+F103+F104+F105</f>
        <v>41650</v>
      </c>
      <c r="G97" s="60">
        <f t="shared" si="13"/>
        <v>44877.8</v>
      </c>
      <c r="H97" s="60">
        <f t="shared" si="13"/>
        <v>40811.7</v>
      </c>
      <c r="I97" s="60">
        <f t="shared" si="13"/>
        <v>40811.7</v>
      </c>
      <c r="J97" s="60">
        <f t="shared" si="13"/>
        <v>40811.7</v>
      </c>
      <c r="K97" s="60">
        <f t="shared" si="13"/>
        <v>40811.7</v>
      </c>
      <c r="L97" s="70"/>
      <c r="N97" s="63"/>
      <c r="O97" s="63"/>
      <c r="P97" s="68"/>
      <c r="Q97" s="63"/>
      <c r="R97" s="63"/>
      <c r="S97" s="63"/>
      <c r="T97" s="63"/>
      <c r="U97" s="63"/>
    </row>
    <row r="98" spans="1:21" ht="42" customHeight="1">
      <c r="A98" s="196"/>
      <c r="B98" s="196"/>
      <c r="C98" s="187" t="s">
        <v>97</v>
      </c>
      <c r="D98" s="65" t="s">
        <v>130</v>
      </c>
      <c r="E98" s="60">
        <f>'Приложение 4'!H75+'Приложение 4'!H76</f>
        <v>46430.5</v>
      </c>
      <c r="F98" s="60">
        <f>'Приложение 4'!I75+'Приложение 4'!I76</f>
        <v>41650</v>
      </c>
      <c r="G98" s="60">
        <f>'Приложение 4'!J74</f>
        <v>44877.8</v>
      </c>
      <c r="H98" s="60">
        <f>'Приложение 4'!K75+'Приложение 4'!K76</f>
        <v>40811.7</v>
      </c>
      <c r="I98" s="60">
        <f>'Приложение 4'!L75+'Приложение 4'!L76</f>
        <v>40811.7</v>
      </c>
      <c r="J98" s="60">
        <f>'Приложение 4'!M75+'Приложение 4'!M76</f>
        <v>40811.7</v>
      </c>
      <c r="K98" s="60">
        <f>'Приложение 4'!N75+'Приложение 4'!N76</f>
        <v>40811.7</v>
      </c>
      <c r="L98" s="70"/>
      <c r="N98" s="63">
        <f>'Приложение 4'!H75+'Приложение 4'!H76</f>
        <v>46430.5</v>
      </c>
      <c r="O98" s="63"/>
      <c r="P98" s="68"/>
      <c r="Q98" s="63"/>
      <c r="R98" s="63"/>
      <c r="S98" s="63"/>
      <c r="T98" s="63"/>
      <c r="U98" s="63"/>
    </row>
    <row r="99" spans="1:21" ht="41.25" customHeight="1">
      <c r="A99" s="196"/>
      <c r="B99" s="196"/>
      <c r="C99" s="187"/>
      <c r="D99" s="65" t="s">
        <v>131</v>
      </c>
      <c r="E99" s="117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60">
        <v>0</v>
      </c>
      <c r="L99" s="70"/>
      <c r="N99" s="63"/>
      <c r="O99" s="63"/>
      <c r="P99" s="68"/>
      <c r="Q99" s="63"/>
      <c r="R99" s="63"/>
      <c r="S99" s="63"/>
      <c r="T99" s="63"/>
      <c r="U99" s="63"/>
    </row>
    <row r="100" spans="1:21" ht="55.5" customHeight="1">
      <c r="A100" s="196"/>
      <c r="B100" s="196"/>
      <c r="C100" s="187"/>
      <c r="D100" s="65" t="s">
        <v>132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70"/>
      <c r="N100" s="63"/>
      <c r="O100" s="63"/>
      <c r="P100" s="68"/>
      <c r="Q100" s="63"/>
      <c r="R100" s="63"/>
      <c r="S100" s="63"/>
      <c r="T100" s="63"/>
      <c r="U100" s="63"/>
    </row>
    <row r="101" spans="1:21" ht="16.5" customHeight="1">
      <c r="A101" s="196"/>
      <c r="B101" s="196"/>
      <c r="C101" s="187" t="s">
        <v>106</v>
      </c>
      <c r="D101" s="187"/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70"/>
      <c r="N101" s="63"/>
      <c r="O101" s="63"/>
      <c r="P101" s="68"/>
      <c r="Q101" s="63"/>
      <c r="R101" s="63"/>
      <c r="S101" s="63"/>
      <c r="T101" s="63"/>
      <c r="U101" s="63"/>
    </row>
    <row r="102" spans="1:21" ht="29.25" customHeight="1">
      <c r="A102" s="196"/>
      <c r="B102" s="196"/>
      <c r="C102" s="187" t="s">
        <v>102</v>
      </c>
      <c r="D102" s="187"/>
      <c r="E102" s="60">
        <v>0</v>
      </c>
      <c r="F102" s="60">
        <v>0</v>
      </c>
      <c r="G102" s="60">
        <v>0</v>
      </c>
      <c r="H102" s="60">
        <v>0</v>
      </c>
      <c r="I102" s="60">
        <v>0</v>
      </c>
      <c r="J102" s="60">
        <v>0</v>
      </c>
      <c r="K102" s="60">
        <v>0</v>
      </c>
      <c r="L102" s="70"/>
      <c r="N102" s="63"/>
      <c r="O102" s="63"/>
      <c r="P102" s="68"/>
      <c r="Q102" s="63"/>
      <c r="R102" s="63"/>
      <c r="S102" s="63"/>
      <c r="T102" s="63"/>
      <c r="U102" s="63"/>
    </row>
    <row r="103" spans="1:21" ht="16.5" customHeight="1">
      <c r="A103" s="196"/>
      <c r="B103" s="196"/>
      <c r="C103" s="187" t="s">
        <v>107</v>
      </c>
      <c r="D103" s="187"/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70"/>
      <c r="N103" s="63"/>
      <c r="O103" s="63"/>
      <c r="P103" s="68"/>
      <c r="Q103" s="63"/>
      <c r="R103" s="63"/>
      <c r="S103" s="63"/>
      <c r="T103" s="63"/>
      <c r="U103" s="63"/>
    </row>
    <row r="104" spans="1:21" ht="16.5" customHeight="1">
      <c r="A104" s="196"/>
      <c r="B104" s="196"/>
      <c r="C104" s="187" t="s">
        <v>108</v>
      </c>
      <c r="D104" s="187"/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70"/>
      <c r="N104" s="63"/>
      <c r="O104" s="63"/>
      <c r="P104" s="68"/>
      <c r="Q104" s="63"/>
      <c r="R104" s="63"/>
      <c r="S104" s="63"/>
      <c r="T104" s="63"/>
      <c r="U104" s="63"/>
    </row>
    <row r="105" spans="1:21" ht="16.5" customHeight="1">
      <c r="A105" s="204"/>
      <c r="B105" s="204"/>
      <c r="C105" s="187" t="s">
        <v>104</v>
      </c>
      <c r="D105" s="187"/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70"/>
      <c r="N105" s="63"/>
      <c r="O105" s="63"/>
      <c r="P105" s="68"/>
      <c r="Q105" s="63"/>
      <c r="R105" s="63"/>
      <c r="S105" s="63"/>
      <c r="T105" s="63"/>
      <c r="U105" s="63"/>
    </row>
    <row r="106" spans="1:21" ht="16.5" customHeight="1">
      <c r="A106" s="195" t="s">
        <v>232</v>
      </c>
      <c r="B106" s="195" t="s">
        <v>241</v>
      </c>
      <c r="C106" s="187" t="s">
        <v>105</v>
      </c>
      <c r="D106" s="187"/>
      <c r="E106" s="60">
        <f>E107+E108+E109+E110+E111+E112+E113+E114</f>
        <v>502928.08793</v>
      </c>
      <c r="F106" s="60">
        <f aca="true" t="shared" si="14" ref="F106:K106">F107+F108+F109+F110+F111+F112+F113+F114</f>
        <v>261427.96321999998</v>
      </c>
      <c r="G106" s="60">
        <f>'Приложение 4'!J77</f>
        <v>104183.9</v>
      </c>
      <c r="H106" s="60">
        <f t="shared" si="14"/>
        <v>0</v>
      </c>
      <c r="I106" s="60">
        <f t="shared" si="14"/>
        <v>0</v>
      </c>
      <c r="J106" s="60">
        <f t="shared" si="14"/>
        <v>0</v>
      </c>
      <c r="K106" s="60">
        <f t="shared" si="14"/>
        <v>0</v>
      </c>
      <c r="L106" s="70"/>
      <c r="N106" s="63">
        <f>N107+N108</f>
        <v>502928.08793</v>
      </c>
      <c r="O106" s="63"/>
      <c r="P106" s="68"/>
      <c r="Q106" s="63"/>
      <c r="R106" s="63"/>
      <c r="S106" s="63"/>
      <c r="T106" s="63"/>
      <c r="U106" s="63"/>
    </row>
    <row r="107" spans="1:21" ht="44.25" customHeight="1">
      <c r="A107" s="196"/>
      <c r="B107" s="196"/>
      <c r="C107" s="187" t="s">
        <v>97</v>
      </c>
      <c r="D107" s="65" t="s">
        <v>130</v>
      </c>
      <c r="E107" s="117">
        <f aca="true" t="shared" si="15" ref="E107:K108">E116+E125+E134</f>
        <v>108586.46793</v>
      </c>
      <c r="F107" s="60">
        <f t="shared" si="15"/>
        <v>69942</v>
      </c>
      <c r="G107" s="60">
        <f t="shared" si="15"/>
        <v>104183.9</v>
      </c>
      <c r="H107" s="60">
        <f t="shared" si="15"/>
        <v>0</v>
      </c>
      <c r="I107" s="60">
        <f t="shared" si="15"/>
        <v>0</v>
      </c>
      <c r="J107" s="60">
        <f t="shared" si="15"/>
        <v>0</v>
      </c>
      <c r="K107" s="60">
        <f t="shared" si="15"/>
        <v>0</v>
      </c>
      <c r="L107" s="70"/>
      <c r="N107" s="63">
        <f>'Приложение 4'!H85+'Приложение 4'!H86+'Приложение 4'!H91</f>
        <v>29191.1029</v>
      </c>
      <c r="O107" s="63"/>
      <c r="P107" s="68"/>
      <c r="Q107" s="63"/>
      <c r="R107" s="63"/>
      <c r="S107" s="63"/>
      <c r="T107" s="63"/>
      <c r="U107" s="63"/>
    </row>
    <row r="108" spans="1:21" ht="46.5" customHeight="1">
      <c r="A108" s="196"/>
      <c r="B108" s="196"/>
      <c r="C108" s="187"/>
      <c r="D108" s="65" t="s">
        <v>131</v>
      </c>
      <c r="E108" s="117">
        <f t="shared" si="15"/>
        <v>394341.62</v>
      </c>
      <c r="F108" s="60">
        <f t="shared" si="15"/>
        <v>191485.96321999998</v>
      </c>
      <c r="G108" s="60">
        <f t="shared" si="15"/>
        <v>0</v>
      </c>
      <c r="H108" s="60">
        <f t="shared" si="15"/>
        <v>0</v>
      </c>
      <c r="I108" s="60">
        <f t="shared" si="15"/>
        <v>0</v>
      </c>
      <c r="J108" s="60">
        <f t="shared" si="15"/>
        <v>0</v>
      </c>
      <c r="K108" s="60">
        <f t="shared" si="15"/>
        <v>0</v>
      </c>
      <c r="L108" s="60" t="e">
        <f>'Приложение 4'!#REF!</f>
        <v>#REF!</v>
      </c>
      <c r="N108" s="63">
        <f>'Приложение 4'!H83+'Приложение 4'!H84+'Приложение 4'!H90</f>
        <v>473736.98503</v>
      </c>
      <c r="O108" s="63"/>
      <c r="P108" s="68"/>
      <c r="Q108" s="63"/>
      <c r="R108" s="63"/>
      <c r="S108" s="63"/>
      <c r="T108" s="63"/>
      <c r="U108" s="63"/>
    </row>
    <row r="109" spans="1:21" ht="52.5" customHeight="1">
      <c r="A109" s="196"/>
      <c r="B109" s="196"/>
      <c r="C109" s="187"/>
      <c r="D109" s="65" t="s">
        <v>132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70"/>
      <c r="N109" s="63"/>
      <c r="O109" s="63"/>
      <c r="P109" s="68"/>
      <c r="Q109" s="63"/>
      <c r="R109" s="63"/>
      <c r="S109" s="63"/>
      <c r="T109" s="63"/>
      <c r="U109" s="63"/>
    </row>
    <row r="110" spans="1:21" ht="16.5" customHeight="1">
      <c r="A110" s="196"/>
      <c r="B110" s="196"/>
      <c r="C110" s="187" t="s">
        <v>106</v>
      </c>
      <c r="D110" s="187"/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70"/>
      <c r="N110" s="63"/>
      <c r="O110" s="63"/>
      <c r="P110" s="68"/>
      <c r="Q110" s="63"/>
      <c r="R110" s="63"/>
      <c r="S110" s="63"/>
      <c r="T110" s="63"/>
      <c r="U110" s="63"/>
    </row>
    <row r="111" spans="1:21" ht="27" customHeight="1">
      <c r="A111" s="196"/>
      <c r="B111" s="196"/>
      <c r="C111" s="187" t="s">
        <v>102</v>
      </c>
      <c r="D111" s="187"/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70"/>
      <c r="N111" s="63"/>
      <c r="O111" s="63"/>
      <c r="P111" s="68"/>
      <c r="Q111" s="63" t="s">
        <v>207</v>
      </c>
      <c r="R111" s="63"/>
      <c r="S111" s="63"/>
      <c r="T111" s="63"/>
      <c r="U111" s="63"/>
    </row>
    <row r="112" spans="1:21" ht="16.5" customHeight="1">
      <c r="A112" s="196"/>
      <c r="B112" s="196"/>
      <c r="C112" s="187" t="s">
        <v>107</v>
      </c>
      <c r="D112" s="187"/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70"/>
      <c r="N112" s="63"/>
      <c r="O112" s="63"/>
      <c r="P112" s="68"/>
      <c r="Q112" s="63"/>
      <c r="R112" s="63"/>
      <c r="S112" s="63"/>
      <c r="T112" s="63"/>
      <c r="U112" s="63"/>
    </row>
    <row r="113" spans="1:21" ht="16.5" customHeight="1">
      <c r="A113" s="196"/>
      <c r="B113" s="196"/>
      <c r="C113" s="187" t="s">
        <v>108</v>
      </c>
      <c r="D113" s="187"/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70"/>
      <c r="N113" s="63"/>
      <c r="O113" s="63"/>
      <c r="P113" s="68"/>
      <c r="Q113" s="63"/>
      <c r="R113" s="63"/>
      <c r="S113" s="63"/>
      <c r="T113" s="63"/>
      <c r="U113" s="63"/>
    </row>
    <row r="114" spans="1:21" ht="16.5" customHeight="1">
      <c r="A114" s="204"/>
      <c r="B114" s="204"/>
      <c r="C114" s="187" t="s">
        <v>104</v>
      </c>
      <c r="D114" s="187"/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70"/>
      <c r="N114" s="63"/>
      <c r="O114" s="63"/>
      <c r="P114" s="68"/>
      <c r="Q114" s="63"/>
      <c r="R114" s="63"/>
      <c r="S114" s="63"/>
      <c r="T114" s="63"/>
      <c r="U114" s="63"/>
    </row>
    <row r="115" spans="1:21" ht="16.5" customHeight="1">
      <c r="A115" s="189" t="s">
        <v>242</v>
      </c>
      <c r="B115" s="189" t="s">
        <v>244</v>
      </c>
      <c r="C115" s="187" t="s">
        <v>83</v>
      </c>
      <c r="D115" s="187"/>
      <c r="E115" s="60"/>
      <c r="F115" s="60"/>
      <c r="G115" s="60"/>
      <c r="H115" s="60"/>
      <c r="I115" s="60"/>
      <c r="J115" s="60"/>
      <c r="K115" s="60"/>
      <c r="L115" s="70"/>
      <c r="N115" s="63"/>
      <c r="O115" s="63"/>
      <c r="P115" s="68"/>
      <c r="Q115" s="63"/>
      <c r="R115" s="63"/>
      <c r="S115" s="63"/>
      <c r="T115" s="63"/>
      <c r="U115" s="63"/>
    </row>
    <row r="116" spans="1:21" ht="43.5" customHeight="1">
      <c r="A116" s="189"/>
      <c r="B116" s="189"/>
      <c r="C116" s="187" t="s">
        <v>97</v>
      </c>
      <c r="D116" s="96" t="s">
        <v>130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70"/>
      <c r="N116" s="63"/>
      <c r="O116" s="63"/>
      <c r="P116" s="68"/>
      <c r="Q116" s="63"/>
      <c r="R116" s="63"/>
      <c r="S116" s="63"/>
      <c r="T116" s="63"/>
      <c r="U116" s="63"/>
    </row>
    <row r="117" spans="1:21" ht="42" customHeight="1">
      <c r="A117" s="189"/>
      <c r="B117" s="189"/>
      <c r="C117" s="187"/>
      <c r="D117" s="96" t="s">
        <v>131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70"/>
      <c r="N117" s="63"/>
      <c r="O117" s="63"/>
      <c r="P117" s="68"/>
      <c r="Q117" s="63"/>
      <c r="R117" s="63"/>
      <c r="S117" s="63"/>
      <c r="T117" s="63"/>
      <c r="U117" s="63"/>
    </row>
    <row r="118" spans="1:21" ht="61.5" customHeight="1">
      <c r="A118" s="189"/>
      <c r="B118" s="189"/>
      <c r="C118" s="187"/>
      <c r="D118" s="96" t="s">
        <v>132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70"/>
      <c r="N118" s="63"/>
      <c r="O118" s="63"/>
      <c r="P118" s="68"/>
      <c r="Q118" s="63"/>
      <c r="R118" s="63"/>
      <c r="S118" s="63"/>
      <c r="T118" s="63"/>
      <c r="U118" s="63"/>
    </row>
    <row r="119" spans="1:21" ht="16.5" customHeight="1">
      <c r="A119" s="189"/>
      <c r="B119" s="189"/>
      <c r="C119" s="187" t="s">
        <v>106</v>
      </c>
      <c r="D119" s="187"/>
      <c r="E119" s="60">
        <v>0</v>
      </c>
      <c r="F119" s="60">
        <v>0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70"/>
      <c r="N119" s="63"/>
      <c r="O119" s="63"/>
      <c r="P119" s="68"/>
      <c r="Q119" s="63"/>
      <c r="R119" s="63"/>
      <c r="S119" s="63"/>
      <c r="T119" s="63"/>
      <c r="U119" s="63"/>
    </row>
    <row r="120" spans="1:21" ht="28.5" customHeight="1">
      <c r="A120" s="189"/>
      <c r="B120" s="189"/>
      <c r="C120" s="187" t="s">
        <v>102</v>
      </c>
      <c r="D120" s="187"/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70"/>
      <c r="N120" s="63"/>
      <c r="O120" s="63"/>
      <c r="P120" s="68"/>
      <c r="Q120" s="63"/>
      <c r="R120" s="63"/>
      <c r="S120" s="63"/>
      <c r="T120" s="63"/>
      <c r="U120" s="63"/>
    </row>
    <row r="121" spans="1:21" ht="16.5" customHeight="1">
      <c r="A121" s="189"/>
      <c r="B121" s="189"/>
      <c r="C121" s="187" t="s">
        <v>107</v>
      </c>
      <c r="D121" s="187"/>
      <c r="E121" s="60">
        <v>0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70"/>
      <c r="N121" s="63"/>
      <c r="O121" s="63"/>
      <c r="P121" s="68"/>
      <c r="Q121" s="63"/>
      <c r="R121" s="63"/>
      <c r="S121" s="63"/>
      <c r="T121" s="63"/>
      <c r="U121" s="63"/>
    </row>
    <row r="122" spans="1:21" ht="16.5" customHeight="1">
      <c r="A122" s="189"/>
      <c r="B122" s="189"/>
      <c r="C122" s="187" t="s">
        <v>108</v>
      </c>
      <c r="D122" s="187"/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60">
        <v>0</v>
      </c>
      <c r="L122" s="70"/>
      <c r="N122" s="63"/>
      <c r="O122" s="63"/>
      <c r="P122" s="68"/>
      <c r="Q122" s="63"/>
      <c r="R122" s="63"/>
      <c r="S122" s="63"/>
      <c r="T122" s="63"/>
      <c r="U122" s="63"/>
    </row>
    <row r="123" spans="1:21" ht="16.5" customHeight="1">
      <c r="A123" s="189"/>
      <c r="B123" s="189"/>
      <c r="C123" s="187" t="s">
        <v>104</v>
      </c>
      <c r="D123" s="187"/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70"/>
      <c r="N123" s="63"/>
      <c r="O123" s="63"/>
      <c r="P123" s="68"/>
      <c r="Q123" s="63"/>
      <c r="R123" s="63"/>
      <c r="S123" s="63"/>
      <c r="T123" s="63"/>
      <c r="U123" s="63"/>
    </row>
    <row r="124" spans="1:21" ht="16.5" customHeight="1">
      <c r="A124" s="189" t="s">
        <v>243</v>
      </c>
      <c r="B124" s="189" t="s">
        <v>245</v>
      </c>
      <c r="C124" s="187" t="s">
        <v>83</v>
      </c>
      <c r="D124" s="187"/>
      <c r="E124" s="60">
        <f>E125+E126+E127+E128+E129+E130+E131+E132</f>
        <v>479398.78793</v>
      </c>
      <c r="F124" s="60">
        <f aca="true" t="shared" si="16" ref="F124:K124">F125+F126+F127+F128+F129+F130+F131+F132</f>
        <v>236014.96321999998</v>
      </c>
      <c r="G124" s="60">
        <f t="shared" si="16"/>
        <v>104183.9</v>
      </c>
      <c r="H124" s="60">
        <f t="shared" si="16"/>
        <v>0</v>
      </c>
      <c r="I124" s="60">
        <f t="shared" si="16"/>
        <v>0</v>
      </c>
      <c r="J124" s="60">
        <f t="shared" si="16"/>
        <v>0</v>
      </c>
      <c r="K124" s="60">
        <f t="shared" si="16"/>
        <v>0</v>
      </c>
      <c r="L124" s="70"/>
      <c r="M124" s="71"/>
      <c r="N124" s="63"/>
      <c r="O124" s="63"/>
      <c r="P124" s="68"/>
      <c r="Q124" s="63"/>
      <c r="R124" s="63"/>
      <c r="S124" s="63"/>
      <c r="T124" s="63"/>
      <c r="U124" s="63"/>
    </row>
    <row r="125" spans="1:21" ht="16.5" customHeight="1">
      <c r="A125" s="189"/>
      <c r="B125" s="189"/>
      <c r="C125" s="187" t="s">
        <v>97</v>
      </c>
      <c r="D125" s="96" t="s">
        <v>130</v>
      </c>
      <c r="E125" s="60">
        <f>'Приложение 4'!H85+'Приложение 4'!H86+'Приложение 4'!H84+57579.38</f>
        <v>86485.16793</v>
      </c>
      <c r="F125" s="60">
        <f>'Приложение 4'!I84+'Приложение 4'!I86+'Приложение 4'!I87+'Приложение 4'!I88+13786.5</f>
        <v>44529</v>
      </c>
      <c r="G125" s="60">
        <f>'Приложение 4'!J83+'Приложение 4'!J84+'Приложение 4'!J86+'Приложение 4'!J87+'Приложение 4'!J88</f>
        <v>104183.9</v>
      </c>
      <c r="H125" s="60">
        <f>'Приложение 4'!K83+'Приложение 4'!K84+'Приложение 4'!K86+'Приложение 4'!K87+'Приложение 4'!K88</f>
        <v>0</v>
      </c>
      <c r="I125" s="60">
        <f>'Приложение 4'!L83+'Приложение 4'!L84+'Приложение 4'!L86+'Приложение 4'!L87+'Приложение 4'!L88</f>
        <v>0</v>
      </c>
      <c r="J125" s="60">
        <f>'Приложение 4'!M83+'Приложение 4'!M84+'Приложение 4'!M86+'Приложение 4'!M87+'Приложение 4'!M88</f>
        <v>0</v>
      </c>
      <c r="K125" s="60">
        <f>'Приложение 4'!N83+'Приложение 4'!N84+'Приложение 4'!N86+'Приложение 4'!N87+'Приложение 4'!N88</f>
        <v>0</v>
      </c>
      <c r="L125" s="70"/>
      <c r="N125" s="63"/>
      <c r="O125" s="63"/>
      <c r="P125" s="68"/>
      <c r="Q125" s="63"/>
      <c r="R125" s="63"/>
      <c r="S125" s="63"/>
      <c r="T125" s="63"/>
      <c r="U125" s="63"/>
    </row>
    <row r="126" spans="1:21" ht="44.25" customHeight="1">
      <c r="A126" s="189"/>
      <c r="B126" s="189"/>
      <c r="C126" s="187"/>
      <c r="D126" s="96" t="s">
        <v>131</v>
      </c>
      <c r="E126" s="60">
        <f>'Приложение 4'!H83-57579.38</f>
        <v>392913.62</v>
      </c>
      <c r="F126" s="60">
        <f>'Приложение 4'!I83-13786.5</f>
        <v>191485.96321999998</v>
      </c>
      <c r="G126" s="60">
        <f>'Приложение 4'!J85</f>
        <v>0</v>
      </c>
      <c r="H126" s="60">
        <f>'Приложение 4'!K85</f>
        <v>0</v>
      </c>
      <c r="I126" s="60">
        <f>'Приложение 4'!L85</f>
        <v>0</v>
      </c>
      <c r="J126" s="60">
        <f>'Приложение 4'!M85</f>
        <v>0</v>
      </c>
      <c r="K126" s="60">
        <f>'Приложение 4'!N85</f>
        <v>0</v>
      </c>
      <c r="L126" s="70"/>
      <c r="N126" s="63"/>
      <c r="O126" s="63"/>
      <c r="P126" s="68"/>
      <c r="Q126" s="63"/>
      <c r="R126" s="63"/>
      <c r="S126" s="63"/>
      <c r="T126" s="63"/>
      <c r="U126" s="63"/>
    </row>
    <row r="127" spans="1:21" ht="16.5" customHeight="1">
      <c r="A127" s="189"/>
      <c r="B127" s="189"/>
      <c r="C127" s="187"/>
      <c r="D127" s="96" t="s">
        <v>132</v>
      </c>
      <c r="E127" s="60">
        <v>0</v>
      </c>
      <c r="F127" s="60">
        <v>0</v>
      </c>
      <c r="G127" s="60">
        <v>0</v>
      </c>
      <c r="H127" s="60">
        <v>0</v>
      </c>
      <c r="I127" s="60">
        <v>0</v>
      </c>
      <c r="J127" s="60">
        <v>0</v>
      </c>
      <c r="K127" s="60">
        <v>0</v>
      </c>
      <c r="L127" s="70"/>
      <c r="N127" s="63"/>
      <c r="O127" s="63"/>
      <c r="P127" s="68"/>
      <c r="Q127" s="63"/>
      <c r="R127" s="63"/>
      <c r="S127" s="63"/>
      <c r="T127" s="63"/>
      <c r="U127" s="63"/>
    </row>
    <row r="128" spans="1:21" ht="16.5" customHeight="1">
      <c r="A128" s="189"/>
      <c r="B128" s="189"/>
      <c r="C128" s="187" t="s">
        <v>106</v>
      </c>
      <c r="D128" s="187"/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70"/>
      <c r="N128" s="63"/>
      <c r="O128" s="63"/>
      <c r="P128" s="68"/>
      <c r="Q128" s="63"/>
      <c r="R128" s="63"/>
      <c r="S128" s="63"/>
      <c r="T128" s="63"/>
      <c r="U128" s="63"/>
    </row>
    <row r="129" spans="1:21" ht="30" customHeight="1">
      <c r="A129" s="189"/>
      <c r="B129" s="189"/>
      <c r="C129" s="187" t="s">
        <v>102</v>
      </c>
      <c r="D129" s="187"/>
      <c r="E129" s="60">
        <v>0</v>
      </c>
      <c r="F129" s="60">
        <v>0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70"/>
      <c r="N129" s="63"/>
      <c r="O129" s="63"/>
      <c r="P129" s="68"/>
      <c r="Q129" s="63"/>
      <c r="R129" s="63"/>
      <c r="S129" s="63"/>
      <c r="T129" s="63"/>
      <c r="U129" s="63"/>
    </row>
    <row r="130" spans="1:21" ht="16.5" customHeight="1">
      <c r="A130" s="189"/>
      <c r="B130" s="189"/>
      <c r="C130" s="187" t="s">
        <v>107</v>
      </c>
      <c r="D130" s="187"/>
      <c r="E130" s="60">
        <v>0</v>
      </c>
      <c r="F130" s="60">
        <v>0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70"/>
      <c r="N130" s="63"/>
      <c r="O130" s="63"/>
      <c r="P130" s="68"/>
      <c r="Q130" s="63"/>
      <c r="R130" s="63"/>
      <c r="S130" s="63"/>
      <c r="T130" s="63"/>
      <c r="U130" s="63"/>
    </row>
    <row r="131" spans="1:21" ht="16.5" customHeight="1">
      <c r="A131" s="189"/>
      <c r="B131" s="189"/>
      <c r="C131" s="187" t="s">
        <v>108</v>
      </c>
      <c r="D131" s="187"/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70"/>
      <c r="N131" s="63"/>
      <c r="O131" s="63"/>
      <c r="P131" s="68"/>
      <c r="Q131" s="63"/>
      <c r="R131" s="63"/>
      <c r="S131" s="63"/>
      <c r="T131" s="63"/>
      <c r="U131" s="63"/>
    </row>
    <row r="132" spans="1:21" ht="16.5" customHeight="1">
      <c r="A132" s="189"/>
      <c r="B132" s="189"/>
      <c r="C132" s="187" t="s">
        <v>104</v>
      </c>
      <c r="D132" s="187"/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70"/>
      <c r="N132" s="63"/>
      <c r="O132" s="63"/>
      <c r="P132" s="68"/>
      <c r="Q132" s="63"/>
      <c r="R132" s="63"/>
      <c r="S132" s="63"/>
      <c r="T132" s="63"/>
      <c r="U132" s="63"/>
    </row>
    <row r="133" spans="1:21" ht="16.5" customHeight="1" hidden="1">
      <c r="A133" s="189" t="s">
        <v>246</v>
      </c>
      <c r="B133" s="189" t="s">
        <v>247</v>
      </c>
      <c r="C133" s="187" t="s">
        <v>208</v>
      </c>
      <c r="D133" s="187"/>
      <c r="E133" s="60">
        <f aca="true" t="shared" si="17" ref="E133:K133">E134+E135+E136+E137+E138+E139+E140+E141</f>
        <v>23529.3</v>
      </c>
      <c r="F133" s="60">
        <f t="shared" si="17"/>
        <v>25413</v>
      </c>
      <c r="G133" s="60">
        <f t="shared" si="17"/>
        <v>0</v>
      </c>
      <c r="H133" s="60">
        <f t="shared" si="17"/>
        <v>0</v>
      </c>
      <c r="I133" s="60">
        <f t="shared" si="17"/>
        <v>0</v>
      </c>
      <c r="J133" s="60">
        <f t="shared" si="17"/>
        <v>0</v>
      </c>
      <c r="K133" s="60">
        <f t="shared" si="17"/>
        <v>0</v>
      </c>
      <c r="L133" s="70"/>
      <c r="N133" s="63"/>
      <c r="O133" s="63"/>
      <c r="P133" s="68"/>
      <c r="Q133" s="63"/>
      <c r="R133" s="63"/>
      <c r="S133" s="63"/>
      <c r="T133" s="63"/>
      <c r="U133" s="63"/>
    </row>
    <row r="134" spans="1:21" ht="49.5" customHeight="1">
      <c r="A134" s="189"/>
      <c r="B134" s="189"/>
      <c r="C134" s="187" t="s">
        <v>97</v>
      </c>
      <c r="D134" s="96" t="s">
        <v>130</v>
      </c>
      <c r="E134" s="60">
        <f>'Приложение 4'!H90</f>
        <v>22101.3</v>
      </c>
      <c r="F134" s="60">
        <f>'Приложение 4'!I90+'Приложение 4'!I91</f>
        <v>25413</v>
      </c>
      <c r="G134" s="60">
        <f>'Приложение 4'!J90+'Приложение 4'!J91</f>
        <v>0</v>
      </c>
      <c r="H134" s="60">
        <f>'Приложение 4'!K90+'Приложение 4'!K91</f>
        <v>0</v>
      </c>
      <c r="I134" s="60">
        <f>'Приложение 4'!L90+'Приложение 4'!L91</f>
        <v>0</v>
      </c>
      <c r="J134" s="60">
        <f>'Приложение 4'!M90+'Приложение 4'!M91</f>
        <v>0</v>
      </c>
      <c r="K134" s="60">
        <f>'Приложение 4'!N90+'Приложение 4'!N91</f>
        <v>0</v>
      </c>
      <c r="L134" s="70"/>
      <c r="N134" s="63"/>
      <c r="O134" s="63"/>
      <c r="P134" s="68"/>
      <c r="Q134" s="63"/>
      <c r="R134" s="63"/>
      <c r="S134" s="63"/>
      <c r="T134" s="63"/>
      <c r="U134" s="63"/>
    </row>
    <row r="135" spans="1:21" ht="44.25" customHeight="1">
      <c r="A135" s="189"/>
      <c r="B135" s="189"/>
      <c r="C135" s="187"/>
      <c r="D135" s="96" t="s">
        <v>131</v>
      </c>
      <c r="E135" s="60">
        <f>'Приложение 4'!H91</f>
        <v>1428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70"/>
      <c r="N135" s="63"/>
      <c r="O135" s="63"/>
      <c r="P135" s="68"/>
      <c r="Q135" s="63"/>
      <c r="R135" s="63"/>
      <c r="S135" s="63"/>
      <c r="T135" s="63"/>
      <c r="U135" s="63"/>
    </row>
    <row r="136" spans="1:21" ht="54" customHeight="1">
      <c r="A136" s="189"/>
      <c r="B136" s="189"/>
      <c r="C136" s="187"/>
      <c r="D136" s="96" t="s">
        <v>132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70"/>
      <c r="N136" s="63"/>
      <c r="O136" s="63"/>
      <c r="P136" s="68"/>
      <c r="Q136" s="63"/>
      <c r="R136" s="63"/>
      <c r="S136" s="63"/>
      <c r="T136" s="63"/>
      <c r="U136" s="63"/>
    </row>
    <row r="137" spans="1:21" ht="16.5" customHeight="1">
      <c r="A137" s="189"/>
      <c r="B137" s="189"/>
      <c r="C137" s="187" t="s">
        <v>106</v>
      </c>
      <c r="D137" s="187"/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70"/>
      <c r="N137" s="63"/>
      <c r="O137" s="63"/>
      <c r="P137" s="68"/>
      <c r="Q137" s="63"/>
      <c r="R137" s="63"/>
      <c r="S137" s="63"/>
      <c r="T137" s="63"/>
      <c r="U137" s="63"/>
    </row>
    <row r="138" spans="1:21" ht="29.25" customHeight="1">
      <c r="A138" s="189"/>
      <c r="B138" s="189"/>
      <c r="C138" s="187" t="s">
        <v>102</v>
      </c>
      <c r="D138" s="187"/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70"/>
      <c r="N138" s="63"/>
      <c r="O138" s="63"/>
      <c r="P138" s="68"/>
      <c r="Q138" s="63"/>
      <c r="R138" s="63"/>
      <c r="S138" s="63"/>
      <c r="T138" s="63"/>
      <c r="U138" s="63"/>
    </row>
    <row r="139" spans="1:21" ht="16.5" customHeight="1">
      <c r="A139" s="189"/>
      <c r="B139" s="189"/>
      <c r="C139" s="187" t="s">
        <v>107</v>
      </c>
      <c r="D139" s="187"/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70"/>
      <c r="N139" s="63"/>
      <c r="O139" s="63"/>
      <c r="P139" s="68"/>
      <c r="Q139" s="63"/>
      <c r="R139" s="63"/>
      <c r="S139" s="63"/>
      <c r="T139" s="63"/>
      <c r="U139" s="63"/>
    </row>
    <row r="140" spans="1:21" ht="16.5" customHeight="1">
      <c r="A140" s="189"/>
      <c r="B140" s="189"/>
      <c r="C140" s="187" t="s">
        <v>108</v>
      </c>
      <c r="D140" s="187"/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70"/>
      <c r="N140" s="63"/>
      <c r="O140" s="63"/>
      <c r="P140" s="68"/>
      <c r="Q140" s="63"/>
      <c r="R140" s="63"/>
      <c r="S140" s="63"/>
      <c r="T140" s="63"/>
      <c r="U140" s="63"/>
    </row>
    <row r="141" spans="1:21" ht="16.5" customHeight="1">
      <c r="A141" s="189"/>
      <c r="B141" s="189"/>
      <c r="C141" s="187" t="s">
        <v>104</v>
      </c>
      <c r="D141" s="187"/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70"/>
      <c r="N141" s="63"/>
      <c r="O141" s="63"/>
      <c r="P141" s="68"/>
      <c r="Q141" s="63"/>
      <c r="R141" s="63"/>
      <c r="S141" s="63"/>
      <c r="T141" s="63"/>
      <c r="U141" s="63"/>
    </row>
    <row r="142" spans="1:21" ht="16.5" customHeight="1">
      <c r="A142" s="195" t="s">
        <v>234</v>
      </c>
      <c r="B142" s="195" t="s">
        <v>248</v>
      </c>
      <c r="C142" s="190" t="s">
        <v>105</v>
      </c>
      <c r="D142" s="191"/>
      <c r="E142" s="60">
        <f>SUM(E143:E150)</f>
        <v>0</v>
      </c>
      <c r="F142" s="60">
        <f aca="true" t="shared" si="18" ref="F142:K142">SUM(F143:F150)</f>
        <v>0</v>
      </c>
      <c r="G142" s="60">
        <f t="shared" si="18"/>
        <v>0</v>
      </c>
      <c r="H142" s="60">
        <f t="shared" si="18"/>
        <v>0</v>
      </c>
      <c r="I142" s="60">
        <f t="shared" si="18"/>
        <v>0</v>
      </c>
      <c r="J142" s="60">
        <f t="shared" si="18"/>
        <v>0</v>
      </c>
      <c r="K142" s="60">
        <f t="shared" si="18"/>
        <v>0</v>
      </c>
      <c r="L142" s="70"/>
      <c r="N142" s="63"/>
      <c r="O142" s="63"/>
      <c r="P142" s="68"/>
      <c r="Q142" s="63"/>
      <c r="R142" s="63"/>
      <c r="S142" s="63"/>
      <c r="T142" s="63"/>
      <c r="U142" s="63"/>
    </row>
    <row r="143" spans="1:21" ht="43.5" customHeight="1">
      <c r="A143" s="196"/>
      <c r="B143" s="196"/>
      <c r="C143" s="192" t="s">
        <v>97</v>
      </c>
      <c r="D143" s="96" t="s">
        <v>130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N143" s="63"/>
      <c r="O143" s="63"/>
      <c r="P143" s="68"/>
      <c r="Q143" s="63"/>
      <c r="R143" s="63"/>
      <c r="S143" s="63"/>
      <c r="T143" s="63"/>
      <c r="U143" s="63"/>
    </row>
    <row r="144" spans="1:21" ht="42" customHeight="1">
      <c r="A144" s="196"/>
      <c r="B144" s="196"/>
      <c r="C144" s="193"/>
      <c r="D144" s="96" t="s">
        <v>131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N144" s="63"/>
      <c r="O144" s="63"/>
      <c r="P144" s="68"/>
      <c r="Q144" s="63"/>
      <c r="R144" s="63"/>
      <c r="S144" s="63"/>
      <c r="T144" s="63"/>
      <c r="U144" s="63"/>
    </row>
    <row r="145" spans="1:21" ht="56.25" customHeight="1">
      <c r="A145" s="196"/>
      <c r="B145" s="196"/>
      <c r="C145" s="194"/>
      <c r="D145" s="96" t="s">
        <v>132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N145" s="63"/>
      <c r="O145" s="63"/>
      <c r="P145" s="68"/>
      <c r="Q145" s="63"/>
      <c r="R145" s="63"/>
      <c r="S145" s="63"/>
      <c r="T145" s="63"/>
      <c r="U145" s="63"/>
    </row>
    <row r="146" spans="1:21" ht="16.5" customHeight="1">
      <c r="A146" s="196"/>
      <c r="B146" s="196"/>
      <c r="C146" s="190" t="s">
        <v>106</v>
      </c>
      <c r="D146" s="191"/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N146" s="63"/>
      <c r="O146" s="63"/>
      <c r="P146" s="68"/>
      <c r="Q146" s="63"/>
      <c r="R146" s="63"/>
      <c r="S146" s="63"/>
      <c r="T146" s="63"/>
      <c r="U146" s="63"/>
    </row>
    <row r="147" spans="1:21" ht="27.75" customHeight="1">
      <c r="A147" s="196"/>
      <c r="B147" s="196"/>
      <c r="C147" s="190" t="s">
        <v>102</v>
      </c>
      <c r="D147" s="191"/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N147" s="63"/>
      <c r="O147" s="63"/>
      <c r="P147" s="68"/>
      <c r="Q147" s="63"/>
      <c r="R147" s="63"/>
      <c r="S147" s="63"/>
      <c r="T147" s="63"/>
      <c r="U147" s="63"/>
    </row>
    <row r="148" spans="1:21" ht="16.5" customHeight="1">
      <c r="A148" s="196"/>
      <c r="B148" s="196"/>
      <c r="C148" s="190" t="s">
        <v>107</v>
      </c>
      <c r="D148" s="191"/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N148" s="63"/>
      <c r="O148" s="63"/>
      <c r="P148" s="68"/>
      <c r="Q148" s="63"/>
      <c r="R148" s="63"/>
      <c r="S148" s="63"/>
      <c r="T148" s="63"/>
      <c r="U148" s="63"/>
    </row>
    <row r="149" spans="1:21" ht="16.5" customHeight="1">
      <c r="A149" s="196"/>
      <c r="B149" s="196"/>
      <c r="C149" s="190" t="s">
        <v>108</v>
      </c>
      <c r="D149" s="191"/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N149" s="63"/>
      <c r="O149" s="63"/>
      <c r="P149" s="68"/>
      <c r="Q149" s="63"/>
      <c r="R149" s="63"/>
      <c r="S149" s="63"/>
      <c r="T149" s="63"/>
      <c r="U149" s="63"/>
    </row>
    <row r="150" spans="1:21" ht="16.5" customHeight="1">
      <c r="A150" s="204"/>
      <c r="B150" s="204"/>
      <c r="C150" s="190" t="s">
        <v>104</v>
      </c>
      <c r="D150" s="191"/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N150" s="63"/>
      <c r="O150" s="63"/>
      <c r="P150" s="68"/>
      <c r="Q150" s="63"/>
      <c r="R150" s="63"/>
      <c r="S150" s="63"/>
      <c r="T150" s="63"/>
      <c r="U150" s="63"/>
    </row>
    <row r="151" spans="1:21" ht="12.75" customHeight="1">
      <c r="A151" s="192" t="s">
        <v>81</v>
      </c>
      <c r="B151" s="192" t="s">
        <v>210</v>
      </c>
      <c r="C151" s="190" t="s">
        <v>105</v>
      </c>
      <c r="D151" s="191"/>
      <c r="E151" s="60">
        <f aca="true" t="shared" si="19" ref="E151:L151">SUM(E152:E159)</f>
        <v>31981.2</v>
      </c>
      <c r="F151" s="60">
        <f t="shared" si="19"/>
        <v>39388.6</v>
      </c>
      <c r="G151" s="60">
        <f t="shared" si="19"/>
        <v>47770.700000000004</v>
      </c>
      <c r="H151" s="60">
        <f t="shared" si="19"/>
        <v>17000</v>
      </c>
      <c r="I151" s="60">
        <f t="shared" si="19"/>
        <v>17000</v>
      </c>
      <c r="J151" s="60">
        <f t="shared" si="19"/>
        <v>17000</v>
      </c>
      <c r="K151" s="60">
        <f t="shared" si="19"/>
        <v>17000</v>
      </c>
      <c r="L151" s="66" t="e">
        <f t="shared" si="19"/>
        <v>#REF!</v>
      </c>
      <c r="N151" s="63">
        <f>G151/F151*100</f>
        <v>121.28052279085829</v>
      </c>
      <c r="O151" s="63"/>
      <c r="P151" s="64">
        <f>SUM(E151:K151)</f>
        <v>187140.5</v>
      </c>
      <c r="Q151" s="63"/>
      <c r="R151" s="63"/>
      <c r="S151" s="63"/>
      <c r="T151" s="63"/>
      <c r="U151" s="63"/>
    </row>
    <row r="152" spans="1:21" ht="42.75" customHeight="1">
      <c r="A152" s="193"/>
      <c r="B152" s="193"/>
      <c r="C152" s="192" t="s">
        <v>97</v>
      </c>
      <c r="D152" s="65" t="s">
        <v>130</v>
      </c>
      <c r="E152" s="60">
        <f>'Приложение 4 '!H83</f>
        <v>31981.2</v>
      </c>
      <c r="F152" s="60">
        <f>'Приложение 4 '!I83</f>
        <v>39388.6</v>
      </c>
      <c r="G152" s="60">
        <f>'Приложение 4'!J95</f>
        <v>47770.700000000004</v>
      </c>
      <c r="H152" s="60">
        <f>'Приложение 4 '!K83</f>
        <v>17000</v>
      </c>
      <c r="I152" s="60">
        <f>'Приложение 4 '!L83</f>
        <v>17000</v>
      </c>
      <c r="J152" s="60">
        <f>'Приложение 4 '!M83</f>
        <v>17000</v>
      </c>
      <c r="K152" s="60">
        <f>'Приложение 4 '!N83</f>
        <v>17000</v>
      </c>
      <c r="L152" s="67" t="e">
        <f>#REF!</f>
        <v>#REF!</v>
      </c>
      <c r="N152" s="63"/>
      <c r="O152" s="63"/>
      <c r="P152" s="64">
        <f>SUM(E152:K152)</f>
        <v>187140.5</v>
      </c>
      <c r="Q152" s="63"/>
      <c r="R152" s="63"/>
      <c r="S152" s="63"/>
      <c r="T152" s="63"/>
      <c r="U152" s="63"/>
    </row>
    <row r="153" spans="1:21" ht="42.75" customHeight="1">
      <c r="A153" s="193"/>
      <c r="B153" s="193"/>
      <c r="C153" s="193"/>
      <c r="D153" s="65" t="s">
        <v>131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7">
        <v>0</v>
      </c>
      <c r="N153" s="63"/>
      <c r="O153" s="63"/>
      <c r="P153" s="64">
        <f>SUM(E153:K153)</f>
        <v>0</v>
      </c>
      <c r="Q153" s="63"/>
      <c r="R153" s="63"/>
      <c r="S153" s="63"/>
      <c r="T153" s="63"/>
      <c r="U153" s="63"/>
    </row>
    <row r="154" spans="1:21" ht="65.25" customHeight="1">
      <c r="A154" s="193"/>
      <c r="B154" s="193"/>
      <c r="C154" s="194"/>
      <c r="D154" s="65" t="s">
        <v>132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7">
        <v>0</v>
      </c>
      <c r="N154" s="63"/>
      <c r="O154" s="63"/>
      <c r="P154" s="68"/>
      <c r="Q154" s="63"/>
      <c r="R154" s="63"/>
      <c r="S154" s="63"/>
      <c r="T154" s="63"/>
      <c r="U154" s="63"/>
    </row>
    <row r="155" spans="1:21" ht="12" customHeight="1">
      <c r="A155" s="193"/>
      <c r="B155" s="193"/>
      <c r="C155" s="190" t="s">
        <v>106</v>
      </c>
      <c r="D155" s="191"/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6"/>
      <c r="N155" s="63"/>
      <c r="O155" s="63"/>
      <c r="P155" s="68"/>
      <c r="Q155" s="63"/>
      <c r="R155" s="63"/>
      <c r="S155" s="63"/>
      <c r="T155" s="63"/>
      <c r="U155" s="63"/>
    </row>
    <row r="156" spans="1:21" ht="29.25" customHeight="1">
      <c r="A156" s="193"/>
      <c r="B156" s="193"/>
      <c r="C156" s="190" t="s">
        <v>102</v>
      </c>
      <c r="D156" s="191"/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6"/>
      <c r="N156" s="63"/>
      <c r="O156" s="63"/>
      <c r="P156" s="68"/>
      <c r="Q156" s="63"/>
      <c r="R156" s="63"/>
      <c r="S156" s="63"/>
      <c r="T156" s="63"/>
      <c r="U156" s="63"/>
    </row>
    <row r="157" spans="1:21" ht="27" customHeight="1">
      <c r="A157" s="193"/>
      <c r="B157" s="193"/>
      <c r="C157" s="190" t="s">
        <v>107</v>
      </c>
      <c r="D157" s="191"/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6"/>
      <c r="N157" s="63"/>
      <c r="O157" s="63"/>
      <c r="P157" s="68"/>
      <c r="Q157" s="63"/>
      <c r="R157" s="63"/>
      <c r="S157" s="63"/>
      <c r="T157" s="63"/>
      <c r="U157" s="63"/>
    </row>
    <row r="158" spans="1:21" ht="12.75" customHeight="1">
      <c r="A158" s="193"/>
      <c r="B158" s="193"/>
      <c r="C158" s="190" t="s">
        <v>108</v>
      </c>
      <c r="D158" s="191"/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6"/>
      <c r="N158" s="63"/>
      <c r="O158" s="63"/>
      <c r="P158" s="68"/>
      <c r="Q158" s="63"/>
      <c r="R158" s="63"/>
      <c r="S158" s="63"/>
      <c r="T158" s="63"/>
      <c r="U158" s="63"/>
    </row>
    <row r="159" spans="1:21" ht="12.75" customHeight="1">
      <c r="A159" s="194"/>
      <c r="B159" s="194"/>
      <c r="C159" s="190" t="s">
        <v>104</v>
      </c>
      <c r="D159" s="191"/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70" t="e">
        <f>'[2]РАБ_БЮДЖ'!J23</f>
        <v>#REF!</v>
      </c>
      <c r="N159" s="63"/>
      <c r="O159" s="63"/>
      <c r="P159" s="68" t="s">
        <v>138</v>
      </c>
      <c r="Q159" s="63"/>
      <c r="R159" s="63"/>
      <c r="S159" s="63"/>
      <c r="T159" s="63"/>
      <c r="U159" s="63"/>
    </row>
    <row r="160" spans="1:21" ht="12.75">
      <c r="A160" s="195" t="s">
        <v>233</v>
      </c>
      <c r="B160" s="195" t="s">
        <v>249</v>
      </c>
      <c r="C160" s="187" t="s">
        <v>105</v>
      </c>
      <c r="D160" s="187"/>
      <c r="E160" s="60">
        <f>E161+E162+E163+E164+E165+E166+E167+E168</f>
        <v>31981.2</v>
      </c>
      <c r="F160" s="60">
        <f aca="true" t="shared" si="20" ref="F160:K160">F161+F162+F163+F164+F165+F166+F167+F168</f>
        <v>39388.6</v>
      </c>
      <c r="G160" s="60">
        <f t="shared" si="20"/>
        <v>47770.700000000004</v>
      </c>
      <c r="H160" s="60">
        <f t="shared" si="20"/>
        <v>17000</v>
      </c>
      <c r="I160" s="60">
        <f t="shared" si="20"/>
        <v>17000</v>
      </c>
      <c r="J160" s="60">
        <f t="shared" si="20"/>
        <v>17000</v>
      </c>
      <c r="K160" s="60">
        <f t="shared" si="20"/>
        <v>17000</v>
      </c>
      <c r="L160" s="72"/>
      <c r="N160" s="63"/>
      <c r="O160" s="63"/>
      <c r="P160" s="68"/>
      <c r="Q160" s="63"/>
      <c r="R160" s="63"/>
      <c r="S160" s="63"/>
      <c r="T160" s="63"/>
      <c r="U160" s="63"/>
    </row>
    <row r="161" spans="1:21" ht="38.25">
      <c r="A161" s="196"/>
      <c r="B161" s="196"/>
      <c r="C161" s="187" t="s">
        <v>97</v>
      </c>
      <c r="D161" s="65" t="s">
        <v>130</v>
      </c>
      <c r="E161" s="60">
        <f>'Приложение 4'!H97+'Приложение 4'!H98</f>
        <v>31981.2</v>
      </c>
      <c r="F161" s="60">
        <f>'Приложение 4'!I97+'Приложение 4'!I98</f>
        <v>39388.6</v>
      </c>
      <c r="G161" s="60">
        <f>'Приложение 4'!J97+'Приложение 4'!J98</f>
        <v>47770.700000000004</v>
      </c>
      <c r="H161" s="60">
        <f>'Приложение 4'!K97+'Приложение 4'!K98</f>
        <v>17000</v>
      </c>
      <c r="I161" s="60">
        <f>'Приложение 4'!L97+'Приложение 4'!L98</f>
        <v>17000</v>
      </c>
      <c r="J161" s="60">
        <f>'Приложение 4'!M97+'Приложение 4'!M98</f>
        <v>17000</v>
      </c>
      <c r="K161" s="60">
        <f>'Приложение 4'!N97+'Приложение 4'!N98</f>
        <v>17000</v>
      </c>
      <c r="L161" s="72"/>
      <c r="N161" s="63"/>
      <c r="O161" s="63"/>
      <c r="P161" s="68"/>
      <c r="Q161" s="63"/>
      <c r="R161" s="63"/>
      <c r="S161" s="63"/>
      <c r="T161" s="63"/>
      <c r="U161" s="63"/>
    </row>
    <row r="162" spans="1:21" ht="38.25">
      <c r="A162" s="196"/>
      <c r="B162" s="196"/>
      <c r="C162" s="187"/>
      <c r="D162" s="65" t="s">
        <v>131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72"/>
      <c r="N162" s="63"/>
      <c r="O162" s="63"/>
      <c r="P162" s="68"/>
      <c r="Q162" s="63"/>
      <c r="R162" s="63"/>
      <c r="S162" s="63"/>
      <c r="T162" s="63"/>
      <c r="U162" s="63"/>
    </row>
    <row r="163" spans="1:21" ht="51">
      <c r="A163" s="196"/>
      <c r="B163" s="196"/>
      <c r="C163" s="187"/>
      <c r="D163" s="65" t="s">
        <v>132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72"/>
      <c r="N163" s="63"/>
      <c r="O163" s="63"/>
      <c r="P163" s="68"/>
      <c r="Q163" s="63"/>
      <c r="R163" s="63"/>
      <c r="S163" s="63"/>
      <c r="T163" s="63"/>
      <c r="U163" s="63"/>
    </row>
    <row r="164" spans="1:21" ht="12.75">
      <c r="A164" s="196"/>
      <c r="B164" s="196"/>
      <c r="C164" s="187" t="s">
        <v>106</v>
      </c>
      <c r="D164" s="187"/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72"/>
      <c r="N164" s="63"/>
      <c r="O164" s="63"/>
      <c r="P164" s="68"/>
      <c r="Q164" s="63"/>
      <c r="R164" s="63"/>
      <c r="S164" s="63"/>
      <c r="T164" s="63"/>
      <c r="U164" s="63"/>
    </row>
    <row r="165" spans="1:21" ht="12.75">
      <c r="A165" s="196"/>
      <c r="B165" s="196"/>
      <c r="C165" s="187" t="s">
        <v>102</v>
      </c>
      <c r="D165" s="187"/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72"/>
      <c r="N165" s="63"/>
      <c r="O165" s="63"/>
      <c r="P165" s="68"/>
      <c r="Q165" s="63"/>
      <c r="R165" s="63"/>
      <c r="S165" s="63"/>
      <c r="T165" s="63"/>
      <c r="U165" s="63"/>
    </row>
    <row r="166" spans="1:21" ht="12.75">
      <c r="A166" s="196"/>
      <c r="B166" s="196"/>
      <c r="C166" s="187" t="s">
        <v>107</v>
      </c>
      <c r="D166" s="187"/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72"/>
      <c r="N166" s="63"/>
      <c r="O166" s="63"/>
      <c r="P166" s="68"/>
      <c r="Q166" s="63"/>
      <c r="R166" s="63"/>
      <c r="S166" s="63"/>
      <c r="T166" s="63"/>
      <c r="U166" s="63"/>
    </row>
    <row r="167" spans="1:21" ht="12.75">
      <c r="A167" s="196"/>
      <c r="B167" s="196"/>
      <c r="C167" s="187" t="s">
        <v>108</v>
      </c>
      <c r="D167" s="187"/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72"/>
      <c r="N167" s="63"/>
      <c r="O167" s="63"/>
      <c r="P167" s="68"/>
      <c r="Q167" s="63"/>
      <c r="R167" s="63"/>
      <c r="S167" s="63"/>
      <c r="T167" s="63"/>
      <c r="U167" s="63"/>
    </row>
    <row r="168" spans="1:21" ht="12.75">
      <c r="A168" s="196"/>
      <c r="B168" s="196"/>
      <c r="C168" s="187" t="s">
        <v>104</v>
      </c>
      <c r="D168" s="187"/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72"/>
      <c r="N168" s="63"/>
      <c r="O168" s="63"/>
      <c r="P168" s="68"/>
      <c r="Q168" s="63"/>
      <c r="R168" s="63"/>
      <c r="S168" s="63"/>
      <c r="T168" s="63"/>
      <c r="U168" s="63"/>
    </row>
    <row r="169" spans="1:21" ht="12" customHeight="1">
      <c r="A169" s="188" t="s">
        <v>182</v>
      </c>
      <c r="B169" s="189" t="s">
        <v>192</v>
      </c>
      <c r="C169" s="187" t="s">
        <v>105</v>
      </c>
      <c r="D169" s="187"/>
      <c r="E169" s="73">
        <f>SUM(E174:E176)</f>
        <v>0</v>
      </c>
      <c r="F169" s="73">
        <f aca="true" t="shared" si="21" ref="F169:K169">SUM(F174:F176)</f>
        <v>0</v>
      </c>
      <c r="G169" s="73">
        <f t="shared" si="21"/>
        <v>86851.09999999999</v>
      </c>
      <c r="H169" s="73">
        <f t="shared" si="21"/>
        <v>0</v>
      </c>
      <c r="I169" s="73">
        <f t="shared" si="21"/>
        <v>0</v>
      </c>
      <c r="J169" s="73">
        <f t="shared" si="21"/>
        <v>0</v>
      </c>
      <c r="K169" s="73">
        <f t="shared" si="21"/>
        <v>0</v>
      </c>
      <c r="N169" s="63"/>
      <c r="O169" s="63"/>
      <c r="P169" s="68"/>
      <c r="Q169" s="63"/>
      <c r="R169" s="63"/>
      <c r="S169" s="63"/>
      <c r="T169" s="63"/>
      <c r="U169" s="63"/>
    </row>
    <row r="170" spans="1:16" ht="17.25" customHeight="1" hidden="1">
      <c r="A170" s="188"/>
      <c r="B170" s="189"/>
      <c r="C170" s="65"/>
      <c r="D170" s="65"/>
      <c r="E170" s="69"/>
      <c r="F170" s="69"/>
      <c r="G170" s="114"/>
      <c r="H170" s="114"/>
      <c r="I170" s="114"/>
      <c r="J170" s="114"/>
      <c r="K170" s="114"/>
      <c r="L170" s="74"/>
      <c r="P170" s="68"/>
    </row>
    <row r="171" spans="1:16" ht="27.75" customHeight="1" hidden="1">
      <c r="A171" s="188"/>
      <c r="B171" s="189"/>
      <c r="C171" s="65"/>
      <c r="D171" s="65"/>
      <c r="E171" s="69"/>
      <c r="F171" s="69"/>
      <c r="G171" s="114"/>
      <c r="H171" s="114"/>
      <c r="I171" s="114"/>
      <c r="J171" s="114"/>
      <c r="K171" s="114"/>
      <c r="L171" s="74"/>
      <c r="P171" s="68"/>
    </row>
    <row r="172" spans="1:16" ht="12.75" customHeight="1" hidden="1">
      <c r="A172" s="188"/>
      <c r="B172" s="189"/>
      <c r="C172" s="75"/>
      <c r="D172" s="75"/>
      <c r="E172" s="73"/>
      <c r="F172" s="73"/>
      <c r="G172" s="76"/>
      <c r="H172" s="76"/>
      <c r="I172" s="76"/>
      <c r="J172" s="76"/>
      <c r="K172" s="76"/>
      <c r="P172" s="68"/>
    </row>
    <row r="173" spans="1:16" ht="12.75" customHeight="1" hidden="1">
      <c r="A173" s="188"/>
      <c r="B173" s="189"/>
      <c r="C173" s="75"/>
      <c r="D173" s="75"/>
      <c r="E173" s="73"/>
      <c r="F173" s="73"/>
      <c r="G173" s="76"/>
      <c r="H173" s="76"/>
      <c r="I173" s="76"/>
      <c r="J173" s="76"/>
      <c r="K173" s="76"/>
      <c r="P173" s="68"/>
    </row>
    <row r="174" spans="1:16" ht="40.5" customHeight="1">
      <c r="A174" s="188"/>
      <c r="B174" s="189"/>
      <c r="C174" s="187" t="s">
        <v>97</v>
      </c>
      <c r="D174" s="65" t="s">
        <v>130</v>
      </c>
      <c r="E174" s="77">
        <v>0</v>
      </c>
      <c r="F174" s="77">
        <v>0</v>
      </c>
      <c r="G174" s="77">
        <f>'Приложение 4'!J100+'Приложение 4'!J102</f>
        <v>81997.2</v>
      </c>
      <c r="H174" s="77">
        <f>'Приложение 4'!K100+'Приложение 4'!K102</f>
        <v>0</v>
      </c>
      <c r="I174" s="77">
        <f>'Приложение 4'!L100+'Приложение 4'!L102</f>
        <v>0</v>
      </c>
      <c r="J174" s="77">
        <f>'Приложение 4'!M100+'Приложение 4'!M102</f>
        <v>0</v>
      </c>
      <c r="K174" s="77">
        <f>'Приложение 4'!N100+'Приложение 4'!N102</f>
        <v>0</v>
      </c>
      <c r="P174" s="68"/>
    </row>
    <row r="175" spans="1:16" ht="39.75" customHeight="1">
      <c r="A175" s="188"/>
      <c r="B175" s="189"/>
      <c r="C175" s="187"/>
      <c r="D175" s="65" t="s">
        <v>131</v>
      </c>
      <c r="E175" s="77"/>
      <c r="F175" s="77"/>
      <c r="G175" s="77">
        <f>'Приложение 4'!J101</f>
        <v>4853.900000000001</v>
      </c>
      <c r="H175" s="77">
        <f>'Приложение 4'!K101</f>
        <v>0</v>
      </c>
      <c r="I175" s="77">
        <f>'Приложение 4'!L101</f>
        <v>0</v>
      </c>
      <c r="J175" s="77">
        <f>'Приложение 4'!M101</f>
        <v>0</v>
      </c>
      <c r="K175" s="77">
        <f>'Приложение 4'!N101</f>
        <v>0</v>
      </c>
      <c r="P175" s="68"/>
    </row>
    <row r="176" spans="1:16" ht="54" customHeight="1">
      <c r="A176" s="188"/>
      <c r="B176" s="189"/>
      <c r="C176" s="187"/>
      <c r="D176" s="65" t="s">
        <v>132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P176" s="68"/>
    </row>
    <row r="177" spans="1:16" ht="12.75" customHeight="1">
      <c r="A177" s="188"/>
      <c r="B177" s="189"/>
      <c r="C177" s="187" t="s">
        <v>106</v>
      </c>
      <c r="D177" s="187"/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P177" s="68"/>
    </row>
    <row r="178" spans="1:16" ht="24.75" customHeight="1">
      <c r="A178" s="188"/>
      <c r="B178" s="189"/>
      <c r="C178" s="187" t="s">
        <v>102</v>
      </c>
      <c r="D178" s="187"/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P178" s="68"/>
    </row>
    <row r="179" spans="1:16" ht="12.75">
      <c r="A179" s="188"/>
      <c r="B179" s="189"/>
      <c r="C179" s="187" t="s">
        <v>107</v>
      </c>
      <c r="D179" s="187"/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P179" s="68"/>
    </row>
    <row r="180" spans="1:16" ht="12.75">
      <c r="A180" s="188"/>
      <c r="B180" s="189"/>
      <c r="C180" s="187" t="s">
        <v>108</v>
      </c>
      <c r="D180" s="187"/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P180" s="68"/>
    </row>
    <row r="181" spans="1:16" ht="15">
      <c r="A181" s="188"/>
      <c r="B181" s="189"/>
      <c r="C181" s="187" t="s">
        <v>104</v>
      </c>
      <c r="D181" s="187"/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M181" s="82" t="s">
        <v>253</v>
      </c>
      <c r="P181" s="68"/>
    </row>
    <row r="182" spans="1:16" ht="30" customHeight="1">
      <c r="A182" s="78"/>
      <c r="B182" s="79"/>
      <c r="C182" s="80"/>
      <c r="D182" s="80"/>
      <c r="E182" s="81"/>
      <c r="F182" s="81"/>
      <c r="G182" s="81"/>
      <c r="H182" s="81"/>
      <c r="I182" s="81"/>
      <c r="J182" s="81"/>
      <c r="K182" s="81"/>
      <c r="P182" s="68"/>
    </row>
    <row r="183" spans="1:16" ht="24" customHeight="1">
      <c r="A183" s="202" t="s">
        <v>198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P183" s="68"/>
    </row>
    <row r="184" spans="1:16" ht="41.25" customHeight="1">
      <c r="A184" s="124"/>
      <c r="B184" s="125"/>
      <c r="C184" s="126"/>
      <c r="D184" s="126"/>
      <c r="E184" s="127"/>
      <c r="F184" s="127"/>
      <c r="G184" s="127"/>
      <c r="H184" s="127"/>
      <c r="I184" s="127"/>
      <c r="J184" s="127"/>
      <c r="K184" s="127"/>
      <c r="P184" s="68"/>
    </row>
    <row r="185" spans="1:16" ht="20.25">
      <c r="A185" s="185" t="s">
        <v>196</v>
      </c>
      <c r="B185" s="185"/>
      <c r="C185" s="126"/>
      <c r="D185" s="126"/>
      <c r="E185" s="127"/>
      <c r="F185" s="127"/>
      <c r="G185" s="127"/>
      <c r="H185" s="127"/>
      <c r="I185" s="186" t="s">
        <v>197</v>
      </c>
      <c r="J185" s="186"/>
      <c r="K185" s="186"/>
      <c r="P185" s="68"/>
    </row>
    <row r="186" spans="1:11" ht="1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</row>
    <row r="187" spans="1:11" ht="15.75">
      <c r="A187" s="83"/>
      <c r="B187" s="82"/>
      <c r="C187" s="82"/>
      <c r="D187" s="82"/>
      <c r="E187" s="82"/>
      <c r="F187" s="82"/>
      <c r="G187" s="82"/>
      <c r="H187" s="82"/>
      <c r="I187" s="82"/>
      <c r="J187" s="82"/>
      <c r="K187" s="82"/>
    </row>
    <row r="188" spans="1:11" ht="15.75">
      <c r="A188" s="83"/>
      <c r="B188" s="82"/>
      <c r="C188" s="82"/>
      <c r="D188" s="82"/>
      <c r="E188" s="82"/>
      <c r="F188" s="82"/>
      <c r="G188" s="82"/>
      <c r="H188" s="82"/>
      <c r="I188" s="82"/>
      <c r="J188" s="82"/>
      <c r="K188" s="82"/>
    </row>
    <row r="189" spans="1:11" ht="15.75">
      <c r="A189" s="84"/>
      <c r="B189" s="85"/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1:11" ht="12.75" customHeight="1">
      <c r="A190" s="84"/>
      <c r="B190" s="85"/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1:12" ht="23.25">
      <c r="A191" s="86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</row>
  </sheetData>
  <sheetProtection/>
  <mergeCells count="182">
    <mergeCell ref="A133:A141"/>
    <mergeCell ref="B133:B141"/>
    <mergeCell ref="C133:D133"/>
    <mergeCell ref="C134:C136"/>
    <mergeCell ref="C137:D137"/>
    <mergeCell ref="C138:D138"/>
    <mergeCell ref="C139:D139"/>
    <mergeCell ref="C140:D140"/>
    <mergeCell ref="C141:D141"/>
    <mergeCell ref="A124:A132"/>
    <mergeCell ref="B124:B132"/>
    <mergeCell ref="C124:D124"/>
    <mergeCell ref="C125:C127"/>
    <mergeCell ref="C128:D128"/>
    <mergeCell ref="C129:D129"/>
    <mergeCell ref="C130:D130"/>
    <mergeCell ref="C131:D131"/>
    <mergeCell ref="C132:D132"/>
    <mergeCell ref="B191:L191"/>
    <mergeCell ref="A142:A150"/>
    <mergeCell ref="B142:B150"/>
    <mergeCell ref="C142:D142"/>
    <mergeCell ref="C143:C145"/>
    <mergeCell ref="C146:D146"/>
    <mergeCell ref="C147:D147"/>
    <mergeCell ref="C148:D148"/>
    <mergeCell ref="C149:D149"/>
    <mergeCell ref="C150:D150"/>
    <mergeCell ref="C115:D115"/>
    <mergeCell ref="C116:C118"/>
    <mergeCell ref="C119:D119"/>
    <mergeCell ref="C120:D120"/>
    <mergeCell ref="C121:D121"/>
    <mergeCell ref="C122:D122"/>
    <mergeCell ref="A115:A123"/>
    <mergeCell ref="B115:B123"/>
    <mergeCell ref="C123:D123"/>
    <mergeCell ref="A79:A87"/>
    <mergeCell ref="B79:B87"/>
    <mergeCell ref="C79:D79"/>
    <mergeCell ref="C80:C82"/>
    <mergeCell ref="C83:D83"/>
    <mergeCell ref="C84:D84"/>
    <mergeCell ref="C86:D86"/>
    <mergeCell ref="C87:D87"/>
    <mergeCell ref="A70:A78"/>
    <mergeCell ref="B70:B78"/>
    <mergeCell ref="C70:D70"/>
    <mergeCell ref="C71:C73"/>
    <mergeCell ref="C74:D74"/>
    <mergeCell ref="C85:D85"/>
    <mergeCell ref="C75:D75"/>
    <mergeCell ref="C76:D76"/>
    <mergeCell ref="C77:D77"/>
    <mergeCell ref="C78:D78"/>
    <mergeCell ref="A88:A96"/>
    <mergeCell ref="B88:B96"/>
    <mergeCell ref="C88:D88"/>
    <mergeCell ref="C89:C91"/>
    <mergeCell ref="C92:D92"/>
    <mergeCell ref="C93:D93"/>
    <mergeCell ref="C94:D94"/>
    <mergeCell ref="C95:D95"/>
    <mergeCell ref="C96:D96"/>
    <mergeCell ref="A97:A105"/>
    <mergeCell ref="B97:B105"/>
    <mergeCell ref="C97:D97"/>
    <mergeCell ref="C98:C100"/>
    <mergeCell ref="C101:D101"/>
    <mergeCell ref="C102:D102"/>
    <mergeCell ref="C103:D103"/>
    <mergeCell ref="C104:D104"/>
    <mergeCell ref="C105:D105"/>
    <mergeCell ref="A106:A114"/>
    <mergeCell ref="B106:B114"/>
    <mergeCell ref="C106:D106"/>
    <mergeCell ref="C107:C109"/>
    <mergeCell ref="C110:D110"/>
    <mergeCell ref="C111:D111"/>
    <mergeCell ref="C112:D112"/>
    <mergeCell ref="C113:D113"/>
    <mergeCell ref="C114:D114"/>
    <mergeCell ref="B160:B168"/>
    <mergeCell ref="C160:D160"/>
    <mergeCell ref="C161:C163"/>
    <mergeCell ref="C164:D164"/>
    <mergeCell ref="C165:D165"/>
    <mergeCell ref="C166:D166"/>
    <mergeCell ref="C167:D167"/>
    <mergeCell ref="C168:D168"/>
    <mergeCell ref="A52:A60"/>
    <mergeCell ref="B52:B60"/>
    <mergeCell ref="C52:D52"/>
    <mergeCell ref="C53:C55"/>
    <mergeCell ref="C56:D56"/>
    <mergeCell ref="C57:D57"/>
    <mergeCell ref="C58:D58"/>
    <mergeCell ref="C59:D59"/>
    <mergeCell ref="C60:D60"/>
    <mergeCell ref="A43:A51"/>
    <mergeCell ref="B43:B51"/>
    <mergeCell ref="C43:D43"/>
    <mergeCell ref="C44:C46"/>
    <mergeCell ref="C47:D47"/>
    <mergeCell ref="C48:D48"/>
    <mergeCell ref="C49:D49"/>
    <mergeCell ref="C50:D50"/>
    <mergeCell ref="C51:D51"/>
    <mergeCell ref="A34:A42"/>
    <mergeCell ref="B34:B42"/>
    <mergeCell ref="C35:C37"/>
    <mergeCell ref="C34:D34"/>
    <mergeCell ref="C38:D38"/>
    <mergeCell ref="C39:D39"/>
    <mergeCell ref="C40:D40"/>
    <mergeCell ref="C41:D41"/>
    <mergeCell ref="C42:D42"/>
    <mergeCell ref="A25:A33"/>
    <mergeCell ref="B25:B33"/>
    <mergeCell ref="C25:D25"/>
    <mergeCell ref="C26:C28"/>
    <mergeCell ref="C29:D29"/>
    <mergeCell ref="C30:D30"/>
    <mergeCell ref="C31:D31"/>
    <mergeCell ref="C32:D32"/>
    <mergeCell ref="C33:D33"/>
    <mergeCell ref="A183:K183"/>
    <mergeCell ref="A3:L3"/>
    <mergeCell ref="A4:A5"/>
    <mergeCell ref="B4:B5"/>
    <mergeCell ref="C4:D5"/>
    <mergeCell ref="E4:L4"/>
    <mergeCell ref="C15:D15"/>
    <mergeCell ref="C69:D69"/>
    <mergeCell ref="A16:A24"/>
    <mergeCell ref="B16:B24"/>
    <mergeCell ref="H1:K1"/>
    <mergeCell ref="C6:D6"/>
    <mergeCell ref="A7:A15"/>
    <mergeCell ref="B7:B15"/>
    <mergeCell ref="C7:D7"/>
    <mergeCell ref="C8:C10"/>
    <mergeCell ref="C11:D11"/>
    <mergeCell ref="C12:D12"/>
    <mergeCell ref="C13:D13"/>
    <mergeCell ref="C14:D14"/>
    <mergeCell ref="C16:D16"/>
    <mergeCell ref="C17:C19"/>
    <mergeCell ref="C20:D20"/>
    <mergeCell ref="C21:D21"/>
    <mergeCell ref="C22:D22"/>
    <mergeCell ref="C23:D23"/>
    <mergeCell ref="C24:D24"/>
    <mergeCell ref="C158:D158"/>
    <mergeCell ref="C159:D159"/>
    <mergeCell ref="A61:A69"/>
    <mergeCell ref="B61:B69"/>
    <mergeCell ref="C61:D61"/>
    <mergeCell ref="C62:C64"/>
    <mergeCell ref="C65:D65"/>
    <mergeCell ref="C66:D66"/>
    <mergeCell ref="C67:D67"/>
    <mergeCell ref="C177:D177"/>
    <mergeCell ref="C157:D157"/>
    <mergeCell ref="C68:D68"/>
    <mergeCell ref="A151:A159"/>
    <mergeCell ref="B151:B159"/>
    <mergeCell ref="C151:D151"/>
    <mergeCell ref="C152:C154"/>
    <mergeCell ref="C155:D155"/>
    <mergeCell ref="C156:D156"/>
    <mergeCell ref="A160:A168"/>
    <mergeCell ref="A185:B185"/>
    <mergeCell ref="I185:K185"/>
    <mergeCell ref="C178:D178"/>
    <mergeCell ref="C179:D179"/>
    <mergeCell ref="C180:D180"/>
    <mergeCell ref="C181:D181"/>
    <mergeCell ref="A169:A181"/>
    <mergeCell ref="B169:B181"/>
    <mergeCell ref="C169:D169"/>
    <mergeCell ref="C174:C176"/>
  </mergeCells>
  <printOptions/>
  <pageMargins left="0.1968503937007874" right="0.2755905511811024" top="0.5905511811023623" bottom="0.2755905511811024" header="0.1968503937007874" footer="0.1968503937007874"/>
  <pageSetup horizontalDpi="600" verticalDpi="600" orientation="landscape" paperSize="9" scale="58" r:id="rId1"/>
  <headerFooter alignWithMargins="0">
    <oddFooter>&amp;R&amp;P</oddFooter>
  </headerFooter>
  <rowBreaks count="2" manualBreakCount="2">
    <brk id="28" max="12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3:F9"/>
  <sheetViews>
    <sheetView zoomScalePageLayoutView="0" workbookViewId="0" topLeftCell="A1">
      <selection activeCell="F8" sqref="F8"/>
    </sheetView>
  </sheetViews>
  <sheetFormatPr defaultColWidth="9.140625" defaultRowHeight="15"/>
  <cols>
    <col min="3" max="3" width="23.421875" style="0" customWidth="1"/>
    <col min="4" max="5" width="17.421875" style="0" customWidth="1"/>
    <col min="6" max="6" width="15.7109375" style="0" customWidth="1"/>
  </cols>
  <sheetData>
    <row r="3" spans="3:6" ht="31.5" customHeight="1">
      <c r="C3" s="206" t="s">
        <v>201</v>
      </c>
      <c r="D3" s="207" t="s">
        <v>203</v>
      </c>
      <c r="E3" s="207" t="s">
        <v>204</v>
      </c>
      <c r="F3" s="207" t="s">
        <v>205</v>
      </c>
    </row>
    <row r="4" spans="3:6" ht="92.25" customHeight="1">
      <c r="C4" s="206"/>
      <c r="D4" s="207"/>
      <c r="E4" s="207"/>
      <c r="F4" s="207"/>
    </row>
    <row r="5" spans="3:6" ht="25.5">
      <c r="C5" s="98" t="s">
        <v>206</v>
      </c>
      <c r="D5" s="99">
        <f>SUM(D6:D9)</f>
        <v>6561522.5</v>
      </c>
      <c r="E5" s="99">
        <f>SUM(E6:E9)</f>
        <v>6846195.8</v>
      </c>
      <c r="F5" s="101">
        <f>E5/D5*100-100</f>
        <v>4.338525090784941</v>
      </c>
    </row>
    <row r="6" spans="3:6" ht="15">
      <c r="C6" s="100" t="s">
        <v>22</v>
      </c>
      <c r="D6" s="99">
        <v>857700.3</v>
      </c>
      <c r="E6" s="99">
        <v>753381</v>
      </c>
      <c r="F6" s="101">
        <f>E6/D6*100-100</f>
        <v>-12.162675004310955</v>
      </c>
    </row>
    <row r="7" spans="3:6" ht="15">
      <c r="C7" s="100" t="s">
        <v>36</v>
      </c>
      <c r="D7" s="99">
        <v>5686822.2</v>
      </c>
      <c r="E7" s="99">
        <v>5958193</v>
      </c>
      <c r="F7" s="101">
        <f>E7/D7*100-100</f>
        <v>4.771923412692587</v>
      </c>
    </row>
    <row r="8" spans="3:6" ht="15">
      <c r="C8" s="100" t="s">
        <v>81</v>
      </c>
      <c r="D8" s="99">
        <v>17000</v>
      </c>
      <c r="E8" s="99">
        <v>47770.7</v>
      </c>
      <c r="F8" s="101">
        <f>E8/D8*100-100</f>
        <v>181.00411764705882</v>
      </c>
    </row>
    <row r="9" spans="3:6" ht="51">
      <c r="C9" s="97" t="s">
        <v>202</v>
      </c>
      <c r="D9" s="99">
        <v>0</v>
      </c>
      <c r="E9" s="99">
        <v>86851.1</v>
      </c>
      <c r="F9" s="101">
        <v>100</v>
      </c>
    </row>
  </sheetData>
  <sheetProtection/>
  <mergeCells count="4">
    <mergeCell ref="C3:C4"/>
    <mergeCell ref="D3:D4"/>
    <mergeCell ref="F3:F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Н.В. Иванова</dc:creator>
  <cp:keywords/>
  <dc:description/>
  <cp:lastModifiedBy>Комарова</cp:lastModifiedBy>
  <cp:lastPrinted>2016-08-12T11:50:24Z</cp:lastPrinted>
  <dcterms:created xsi:type="dcterms:W3CDTF">2015-10-07T12:43:04Z</dcterms:created>
  <dcterms:modified xsi:type="dcterms:W3CDTF">2016-08-12T11:50:29Z</dcterms:modified>
  <cp:category/>
  <cp:version/>
  <cp:contentType/>
  <cp:contentStatus/>
</cp:coreProperties>
</file>