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3"/>
  </bookViews>
  <sheets>
    <sheet name="прил. 2" sheetId="1" r:id="rId1"/>
    <sheet name="прил 3" sheetId="2" r:id="rId2"/>
    <sheet name="прил 4" sheetId="3" r:id="rId3"/>
    <sheet name="прил 5" sheetId="4" r:id="rId4"/>
  </sheets>
  <externalReferences>
    <externalReference r:id="rId7"/>
    <externalReference r:id="rId8"/>
    <externalReference r:id="rId9"/>
  </externalReferences>
  <definedNames>
    <definedName name="_xlnm.Print_Area" localSheetId="1">'прил 3'!$A$1:$E$25</definedName>
    <definedName name="_xlnm.Print_Area" localSheetId="2">'прил 4'!$A$1:$N$32</definedName>
    <definedName name="_xlnm.Print_Area" localSheetId="0">'прил. 2'!$A$6:$M$39</definedName>
  </definedNames>
  <calcPr fullCalcOnLoad="1"/>
</workbook>
</file>

<file path=xl/sharedStrings.xml><?xml version="1.0" encoding="utf-8"?>
<sst xmlns="http://schemas.openxmlformats.org/spreadsheetml/2006/main" count="164" uniqueCount="84">
  <si>
    <t xml:space="preserve"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</t>
  </si>
  <si>
    <t>Доходы филиала ПАО «МРСК Северо-Запада» «Карелэнерго» от оказания услуг по передаче электрической энергии на 2017 год</t>
  </si>
  <si>
    <t>Показатели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</si>
  <si>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</si>
  <si>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</si>
  <si>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</si>
  <si>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</si>
  <si>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</si>
  <si>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</si>
  <si>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</si>
  <si>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Доходы филиала ПАО «МРСК Северо-Запада» «Карелэнерго»  от оказания услуг по передаче электрической энергии на 2018 год</t>
  </si>
  <si>
    <t>ВН</t>
  </si>
  <si>
    <t>СН1</t>
  </si>
  <si>
    <t>СН2</t>
  </si>
  <si>
    <t>НН</t>
  </si>
  <si>
    <t>1 полугодие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</si>
  <si>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</si>
  <si>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</si>
  <si>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</si>
  <si>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НВВ, тыс. руб.</t>
  </si>
  <si>
    <t>2 полугодие</t>
  </si>
  <si>
    <t>Год</t>
  </si>
  <si>
    <t>НВВ, тыс.руб.</t>
  </si>
  <si>
    <t>НВВ на содержание сетей на 2018 год,                                            тыс. руб.</t>
  </si>
  <si>
    <t>Покупка потерь от:</t>
  </si>
  <si>
    <t>Потери, млн. кВтч</t>
  </si>
  <si>
    <t>Тариф покупки потерь, руб./МВт·ч</t>
  </si>
  <si>
    <t>Затраты на покупку потерь, тыс. руб.</t>
  </si>
  <si>
    <t>1 пол. 2018</t>
  </si>
  <si>
    <t>2 пол. 2018</t>
  </si>
  <si>
    <t>АО "ТНС энерго Карелия"</t>
  </si>
  <si>
    <t>-</t>
  </si>
  <si>
    <r>
      <t>Полезный отпуск электроэнергии, млн.кВт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</si>
  <si>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</si>
  <si>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Одноставочный тариф,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</si>
  <si>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</si>
  <si>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Доходы филиала  ПАО «ФСК ЕЭС»  - Карельское ПМЭС от оказания услуг по передаче электрической энергии от АО «ТНС энерго Карелия» на 2018 год</t>
  </si>
  <si>
    <t>Прочие потребители</t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</si>
  <si>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                                                                        на 2018 год</t>
  </si>
  <si>
    <t>№ п/п</t>
  </si>
  <si>
    <t>Наименование организации</t>
  </si>
  <si>
    <t>1 полугодие 2018 года</t>
  </si>
  <si>
    <t>2 полугодие 2018 года</t>
  </si>
  <si>
    <t>НВВ на содержание сетей на 2018 год, тыс. руб.</t>
  </si>
  <si>
    <t>Затраты на покупку потерь в 2018 году,                                                        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</si>
  <si>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</si>
  <si>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кВтч</t>
  </si>
  <si>
    <t>Потери, млн.кВтч</t>
  </si>
  <si>
    <t>1.</t>
  </si>
  <si>
    <t>Филиал ПАО "МРСК Северо-Запада" "Карелэнерго" - АО "Прионежская сетевая компания"</t>
  </si>
  <si>
    <t>ООО "Энергокомфорт". Карелия"</t>
  </si>
  <si>
    <t>АО "Норд-Гидро"</t>
  </si>
  <si>
    <t>2.</t>
  </si>
  <si>
    <t xml:space="preserve">Филиал ПАО "МРСК Северо-Запада" "Карелэнерго" - АО «Объединенные региональные электрические сети Петрозаводска» </t>
  </si>
  <si>
    <t>3.</t>
  </si>
  <si>
    <t>Филиал ПАО "МРСК Северо-Запада" "Карелэнерго" - Структурное подразделение Трансэнерго - филиал ОАО  "РЖД" Октябрьской дирекции по энергообеспечению</t>
  </si>
  <si>
    <t>ООО "Русэнергосбыт"</t>
  </si>
  <si>
    <t>4.</t>
  </si>
  <si>
    <t>Филиал ПАО "МРСК Северо-Запада" "Карелэнерго" - АО "Карельский окатыш"</t>
  </si>
  <si>
    <t>АО "Карельский окатыш"</t>
  </si>
  <si>
    <t>5.</t>
  </si>
  <si>
    <t>Филиал ПАО "МРСК Северо-Запада" "Карелэнерго" - Филиал ПАО "ФСК ЕЭС" - Карельское ПМЭС</t>
  </si>
  <si>
    <t>6.</t>
  </si>
  <si>
    <t>Филиал ПАО "МРСК Северо-Запада" "Карелэнерго" - ООО "РЭК"</t>
  </si>
  <si>
    <r>
      <t>Тариф покупки потерь                                                                 в 2018 году,  руб./МВт</t>
    </r>
    <r>
      <rPr>
        <b/>
        <sz val="10"/>
        <color indexed="8"/>
        <rFont val="Arial"/>
        <family val="2"/>
      </rPr>
      <t>·</t>
    </r>
    <r>
      <rPr>
        <b/>
        <sz val="10"/>
        <color indexed="8"/>
        <rFont val="Times New Roman"/>
        <family val="1"/>
      </rPr>
      <t>ч</t>
    </r>
  </si>
  <si>
    <t>Индивидуальные тарифы на услуги по передаче электрической энергии для взаиморасчетов между сетевыми организациями Республики Карелия на 2018 год</t>
  </si>
  <si>
    <t>Наименование сетевых организаций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</si>
  <si>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</si>
  <si>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</si>
  <si>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</si>
  <si>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</si>
  <si>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                                 АО «Прионежская сетевая компания»</t>
  </si>
  <si>
    <t xml:space="preserve">Филиал ПАО «МРСК Северо-Запада» «Карелэнерго» –        АО «Объединенные региональные электрические сети Петрозаводска» 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</si>
  <si>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</si>
  <si>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 АО «Карельский окатыш»</t>
  </si>
  <si>
    <t>Филиал ПАО «МРСК Северо-Запада» «Карелэнерго» – Филиал ПАО «ФСК ЕЭС» - Карельское ПМЭС</t>
  </si>
  <si>
    <t>Филиал ПАО «МРСК Северо-Запада» «Карелэнерго» – ООО «РЭК»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</si>
  <si>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</si>
  <si>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</si>
  <si>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</si>
  <si>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Приложение № 2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29.12.2017 № 192</t>
  </si>
  <si>
    <t xml:space="preserve">Приложение № 3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                                     от 29.12.2017 № 192              </t>
  </si>
  <si>
    <t>Приложение № 4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29.12.2017 № 192</t>
  </si>
  <si>
    <t>Приложение № 5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29.12.2017 № 192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</si>
</sst>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[$€-1]_-;\-* #,##0.00[$€-1]_-;_-* &quot;-&quot;??[$€-1]_-"/>
    <numFmt numFmtId="198" formatCode="&quot;$&quot;#,##0_);[Red]\(&quot;$&quot;#,##0\)"/>
  </numFmts>
  <fonts count="52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Down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8" fontId="7" fillId="0" borderId="0" applyFont="0" applyFill="0" applyBorder="0" applyAlignment="0" applyProtection="0"/>
    <xf numFmtId="180" fontId="8" fillId="13" borderId="0">
      <alignment/>
      <protection locked="0"/>
    </xf>
    <xf numFmtId="0" fontId="9" fillId="0" borderId="0" applyFill="0" applyBorder="0" applyProtection="0">
      <alignment vertical="center"/>
    </xf>
    <xf numFmtId="182" fontId="8" fillId="13" borderId="0">
      <alignment/>
      <protection locked="0"/>
    </xf>
    <xf numFmtId="175" fontId="8" fillId="13" borderId="0">
      <alignment/>
      <protection locked="0"/>
    </xf>
    <xf numFmtId="0" fontId="6" fillId="2" borderId="1" applyAlignment="0">
      <protection/>
    </xf>
    <xf numFmtId="0" fontId="10" fillId="0" borderId="0" applyNumberFormat="0" applyFill="0" applyBorder="0" applyAlignment="0" applyProtection="0"/>
    <xf numFmtId="0" fontId="6" fillId="5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4" fillId="6" borderId="2" applyNumberFormat="0">
      <alignment horizontal="center" vertical="center"/>
      <protection/>
    </xf>
    <xf numFmtId="0" fontId="14" fillId="6" borderId="2" applyNumberFormat="0">
      <alignment horizontal="center" vertical="center"/>
      <protection/>
    </xf>
    <xf numFmtId="49" fontId="15" fillId="12" borderId="3" applyNumberFormat="0">
      <alignment horizontal="center" vertical="center"/>
      <protection/>
    </xf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16" fillId="4" borderId="1" applyNumberFormat="0" applyAlignment="0" applyProtection="0"/>
    <xf numFmtId="0" fontId="17" fillId="11" borderId="4" applyNumberFormat="0" applyAlignment="0" applyProtection="0"/>
    <xf numFmtId="0" fontId="18" fillId="11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Border="0">
      <alignment horizontal="center" vertical="center" wrapText="1"/>
      <protection/>
    </xf>
    <xf numFmtId="4" fontId="8" fillId="13" borderId="9" applyBorder="0">
      <alignment horizontal="right"/>
      <protection/>
    </xf>
    <xf numFmtId="0" fontId="28" fillId="0" borderId="10" applyNumberFormat="0" applyFill="0" applyAlignment="0" applyProtection="0"/>
    <xf numFmtId="0" fontId="29" fillId="12" borderId="11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9" fontId="8" fillId="0" borderId="0" applyBorder="0">
      <alignment vertical="top"/>
      <protection/>
    </xf>
    <xf numFmtId="0" fontId="33" fillId="20" borderId="0" applyNumberFormat="0" applyBorder="0" applyAlignment="0">
      <protection/>
    </xf>
    <xf numFmtId="0" fontId="33" fillId="20" borderId="0" applyNumberFormat="0" applyBorder="0" applyAlignment="0"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2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20" borderId="0" applyBorder="0">
      <alignment vertical="top"/>
      <protection/>
    </xf>
    <xf numFmtId="49" fontId="8" fillId="2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13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5" borderId="0" applyBorder="0">
      <alignment horizontal="right"/>
      <protection/>
    </xf>
    <xf numFmtId="4" fontId="8" fillId="5" borderId="14" applyBorder="0">
      <alignment horizontal="right"/>
      <protection/>
    </xf>
    <xf numFmtId="4" fontId="8" fillId="5" borderId="9" applyFont="0" applyBorder="0">
      <alignment horizontal="right"/>
      <protection/>
    </xf>
    <xf numFmtId="0" fontId="39" fillId="5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2" fillId="0" borderId="0" xfId="129">
      <alignment vertical="center"/>
      <protection/>
    </xf>
    <xf numFmtId="0" fontId="41" fillId="0" borderId="0" xfId="129" applyFont="1" applyAlignment="1">
      <alignment horizontal="right" vertical="center" wrapText="1"/>
      <protection/>
    </xf>
    <xf numFmtId="0" fontId="32" fillId="0" borderId="0" xfId="129" applyFill="1">
      <alignment vertical="center"/>
      <protection/>
    </xf>
    <xf numFmtId="0" fontId="42" fillId="0" borderId="0" xfId="129" applyFont="1" applyBorder="1" applyAlignment="1">
      <alignment horizontal="center"/>
      <protection/>
    </xf>
    <xf numFmtId="0" fontId="43" fillId="0" borderId="0" xfId="129" applyFont="1" applyAlignment="1">
      <alignment/>
      <protection/>
    </xf>
    <xf numFmtId="0" fontId="41" fillId="0" borderId="0" xfId="129" applyFont="1" applyBorder="1" applyAlignment="1">
      <alignment horizontal="center"/>
      <protection/>
    </xf>
    <xf numFmtId="0" fontId="41" fillId="0" borderId="0" xfId="129" applyFont="1" applyFill="1" applyBorder="1" applyAlignment="1">
      <alignment horizontal="center"/>
      <protection/>
    </xf>
    <xf numFmtId="0" fontId="44" fillId="0" borderId="15" xfId="129" applyFont="1" applyBorder="1" applyAlignment="1">
      <alignment horizontal="center" vertical="center" wrapText="1"/>
      <protection/>
    </xf>
    <xf numFmtId="0" fontId="44" fillId="0" borderId="15" xfId="129" applyFont="1" applyBorder="1" applyAlignment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129" applyFont="1" applyBorder="1" applyAlignment="1">
      <alignment horizontal="center" vertical="center" wrapText="1" shrinkToFit="1"/>
      <protection/>
    </xf>
    <xf numFmtId="0" fontId="43" fillId="0" borderId="0" xfId="129" applyFont="1" applyBorder="1" applyAlignment="1">
      <alignment/>
      <protection/>
    </xf>
    <xf numFmtId="0" fontId="43" fillId="0" borderId="0" xfId="129" applyFont="1" applyBorder="1" applyAlignment="1">
      <alignment horizontal="center" vertical="center" wrapText="1" shrinkToFit="1"/>
      <protection/>
    </xf>
    <xf numFmtId="0" fontId="44" fillId="0" borderId="0" xfId="129" applyFont="1" applyBorder="1" applyAlignment="1">
      <alignment horizontal="center" vertical="center" wrapText="1"/>
      <protection/>
    </xf>
    <xf numFmtId="0" fontId="44" fillId="0" borderId="0" xfId="129" applyFont="1" applyBorder="1" applyAlignment="1">
      <alignment horizontal="center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3" fillId="0" borderId="0" xfId="129" applyFont="1" applyBorder="1" applyAlignment="1">
      <alignment horizontal="center" vertical="center" wrapText="1" shrinkToFit="1"/>
      <protection/>
    </xf>
    <xf numFmtId="0" fontId="43" fillId="0" borderId="9" xfId="129" applyFont="1" applyBorder="1" applyAlignment="1">
      <alignment horizontal="center" vertical="center" wrapText="1" shrinkToFit="1"/>
      <protection/>
    </xf>
    <xf numFmtId="0" fontId="41" fillId="0" borderId="9" xfId="129" applyFont="1" applyFill="1" applyBorder="1" applyAlignment="1">
      <alignment horizontal="left"/>
      <protection/>
    </xf>
    <xf numFmtId="0" fontId="44" fillId="0" borderId="9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9" xfId="129" applyFont="1" applyFill="1" applyBorder="1" applyAlignment="1">
      <alignment vertical="center" wrapText="1"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4" fontId="43" fillId="0" borderId="0" xfId="129" applyNumberFormat="1" applyFont="1" applyAlignment="1">
      <alignment/>
      <protection/>
    </xf>
    <xf numFmtId="175" fontId="43" fillId="0" borderId="0" xfId="129" applyNumberFormat="1" applyFont="1" applyAlignment="1">
      <alignment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7" fontId="43" fillId="0" borderId="0" xfId="129" applyNumberFormat="1" applyFont="1" applyAlignment="1">
      <alignment/>
      <protection/>
    </xf>
    <xf numFmtId="0" fontId="43" fillId="0" borderId="9" xfId="129" applyFont="1" applyFill="1" applyBorder="1" applyAlignment="1">
      <alignment/>
      <protection/>
    </xf>
    <xf numFmtId="4" fontId="43" fillId="0" borderId="0" xfId="129" applyNumberFormat="1" applyFont="1" applyAlignment="1">
      <alignment horizontal="right"/>
      <protection/>
    </xf>
    <xf numFmtId="4" fontId="41" fillId="0" borderId="9" xfId="129" applyNumberFormat="1" applyFont="1" applyFill="1" applyBorder="1" applyAlignment="1">
      <alignment horizontal="center" vertical="center" wrapText="1"/>
      <protection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0" fontId="43" fillId="0" borderId="0" xfId="129" applyFont="1" applyAlignment="1">
      <alignment horizontal="center"/>
      <protection/>
    </xf>
    <xf numFmtId="0" fontId="41" fillId="0" borderId="9" xfId="129" applyFont="1" applyFill="1" applyBorder="1" applyAlignment="1">
      <alignment horizontal="left" vertical="center" wrapText="1"/>
      <protection/>
    </xf>
    <xf numFmtId="4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179" fontId="43" fillId="0" borderId="0" xfId="129" applyNumberFormat="1" applyFont="1" applyAlignment="1">
      <alignment/>
      <protection/>
    </xf>
    <xf numFmtId="0" fontId="43" fillId="0" borderId="0" xfId="129" applyFont="1" applyAlignment="1">
      <alignment horizontal="right"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6" fontId="43" fillId="0" borderId="0" xfId="129" applyNumberFormat="1" applyFont="1" applyAlignment="1">
      <alignment horizontal="right"/>
      <protection/>
    </xf>
    <xf numFmtId="176" fontId="43" fillId="0" borderId="0" xfId="129" applyNumberFormat="1" applyFont="1" applyAlignment="1">
      <alignment/>
      <protection/>
    </xf>
    <xf numFmtId="0" fontId="44" fillId="0" borderId="0" xfId="129" applyFont="1" applyFill="1" applyBorder="1" applyAlignment="1">
      <alignment vertical="center" wrapText="1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0" xfId="129" applyFont="1" applyAlignment="1">
      <alignment/>
      <protection/>
    </xf>
    <xf numFmtId="4" fontId="44" fillId="0" borderId="0" xfId="129" applyNumberFormat="1" applyFont="1" applyAlignment="1">
      <alignment horizontal="center"/>
      <protection/>
    </xf>
    <xf numFmtId="4" fontId="44" fillId="0" borderId="0" xfId="129" applyNumberFormat="1" applyFont="1" applyFill="1" applyAlignment="1">
      <alignment horizontal="center"/>
      <protection/>
    </xf>
    <xf numFmtId="2" fontId="43" fillId="0" borderId="0" xfId="129" applyNumberFormat="1" applyFont="1" applyBorder="1" applyAlignment="1">
      <alignment horizontal="right"/>
      <protection/>
    </xf>
    <xf numFmtId="2" fontId="43" fillId="0" borderId="0" xfId="129" applyNumberFormat="1" applyFont="1" applyBorder="1" applyAlignment="1">
      <alignment horizontal="center"/>
      <protection/>
    </xf>
    <xf numFmtId="0" fontId="43" fillId="6" borderId="0" xfId="129" applyFont="1" applyFill="1" applyAlignment="1">
      <alignment/>
      <protection/>
    </xf>
    <xf numFmtId="0" fontId="41" fillId="0" borderId="9" xfId="129" applyFont="1" applyBorder="1" applyAlignment="1">
      <alignment horizontal="center" vertical="center" wrapText="1"/>
      <protection/>
    </xf>
    <xf numFmtId="0" fontId="41" fillId="0" borderId="0" xfId="129" applyFont="1" applyBorder="1" applyAlignment="1">
      <alignment horizontal="center" vertical="center" wrapText="1"/>
      <protection/>
    </xf>
    <xf numFmtId="0" fontId="41" fillId="0" borderId="0" xfId="129" applyFont="1">
      <alignment vertical="center"/>
      <protection/>
    </xf>
    <xf numFmtId="0" fontId="41" fillId="0" borderId="0" xfId="147" applyFont="1" applyBorder="1" applyAlignment="1">
      <alignment horizontal="center" vertical="center" wrapText="1" shrinkToFit="1"/>
      <protection/>
    </xf>
    <xf numFmtId="17" fontId="41" fillId="0" borderId="0" xfId="147" applyNumberFormat="1" applyFont="1" applyBorder="1" applyAlignment="1">
      <alignment horizontal="center" vertical="center" wrapText="1" shrinkToFit="1"/>
      <protection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45" fillId="0" borderId="9" xfId="129" applyFont="1" applyBorder="1" applyAlignment="1">
      <alignment vertical="center" wrapText="1"/>
      <protection/>
    </xf>
    <xf numFmtId="4" fontId="41" fillId="0" borderId="0" xfId="147" applyNumberFormat="1" applyFont="1" applyBorder="1" applyAlignment="1">
      <alignment horizontal="center" vertical="center" wrapText="1"/>
      <protection/>
    </xf>
    <xf numFmtId="4" fontId="41" fillId="0" borderId="0" xfId="147" applyNumberFormat="1" applyFont="1" applyFill="1" applyBorder="1" applyAlignment="1">
      <alignment horizontal="center" vertical="center" wrapText="1"/>
      <protection/>
    </xf>
    <xf numFmtId="4" fontId="44" fillId="0" borderId="0" xfId="129" applyNumberFormat="1" applyFont="1" applyAlignment="1">
      <alignment horizontal="center" vertical="center"/>
      <protection/>
    </xf>
    <xf numFmtId="182" fontId="44" fillId="0" borderId="0" xfId="129" applyNumberFormat="1" applyFont="1">
      <alignment vertical="center"/>
      <protection/>
    </xf>
    <xf numFmtId="0" fontId="44" fillId="0" borderId="0" xfId="129" applyFont="1">
      <alignment vertical="center"/>
      <protection/>
    </xf>
    <xf numFmtId="0" fontId="41" fillId="0" borderId="9" xfId="129" applyFont="1" applyBorder="1">
      <alignment vertical="center"/>
      <protection/>
    </xf>
    <xf numFmtId="4" fontId="41" fillId="0" borderId="9" xfId="129" applyNumberFormat="1" applyFont="1" applyBorder="1" applyAlignment="1">
      <alignment horizontal="center" vertical="center" wrapText="1"/>
      <protection/>
    </xf>
    <xf numFmtId="4" fontId="41" fillId="0" borderId="0" xfId="129" applyNumberFormat="1" applyFont="1" applyBorder="1" applyAlignment="1">
      <alignment horizontal="center" vertical="center" wrapText="1"/>
      <protection/>
    </xf>
    <xf numFmtId="0" fontId="41" fillId="0" borderId="0" xfId="147" applyFont="1" applyBorder="1" applyAlignment="1">
      <alignment horizontal="center" vertical="center" wrapText="1"/>
      <protection/>
    </xf>
    <xf numFmtId="4" fontId="32" fillId="0" borderId="0" xfId="129" applyNumberFormat="1">
      <alignment vertical="center"/>
      <protection/>
    </xf>
    <xf numFmtId="4" fontId="32" fillId="0" borderId="0" xfId="129" applyNumberFormat="1" applyFill="1">
      <alignment vertical="center"/>
      <protection/>
    </xf>
    <xf numFmtId="2" fontId="32" fillId="0" borderId="0" xfId="129" applyNumberFormat="1">
      <alignment vertical="center"/>
      <protection/>
    </xf>
    <xf numFmtId="2" fontId="32" fillId="0" borderId="0" xfId="129" applyNumberFormat="1" applyFill="1">
      <alignment vertical="center"/>
      <protection/>
    </xf>
    <xf numFmtId="182" fontId="32" fillId="0" borderId="0" xfId="129" applyNumberFormat="1" applyAlignment="1">
      <alignment horizontal="center" vertical="center"/>
      <protection/>
    </xf>
    <xf numFmtId="0" fontId="46" fillId="0" borderId="0" xfId="129" applyFont="1" applyAlignment="1">
      <alignment vertical="center" wrapText="1"/>
      <protection/>
    </xf>
    <xf numFmtId="182" fontId="44" fillId="0" borderId="9" xfId="129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8" fillId="0" borderId="0" xfId="0" applyFont="1" applyAlignment="1">
      <alignment horizontal="right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wrapText="1"/>
    </xf>
    <xf numFmtId="0" fontId="48" fillId="0" borderId="9" xfId="0" applyFont="1" applyBorder="1" applyAlignment="1">
      <alignment wrapText="1"/>
    </xf>
    <xf numFmtId="172" fontId="47" fillId="0" borderId="9" xfId="0" applyNumberFormat="1" applyFont="1" applyFill="1" applyBorder="1" applyAlignment="1">
      <alignment horizontal="center" vertical="center" wrapText="1"/>
    </xf>
    <xf numFmtId="172" fontId="47" fillId="0" borderId="9" xfId="151" applyNumberFormat="1" applyFont="1" applyFill="1" applyBorder="1" applyAlignment="1">
      <alignment horizontal="center" vertical="center"/>
      <protection/>
    </xf>
    <xf numFmtId="4" fontId="48" fillId="0" borderId="9" xfId="151" applyNumberFormat="1" applyFont="1" applyFill="1" applyBorder="1" applyAlignment="1">
      <alignment horizontal="center" vertical="center"/>
      <protection/>
    </xf>
    <xf numFmtId="4" fontId="47" fillId="0" borderId="9" xfId="151" applyNumberFormat="1" applyFont="1" applyFill="1" applyBorder="1" applyAlignment="1">
      <alignment horizontal="center" vertical="center"/>
      <protection/>
    </xf>
    <xf numFmtId="172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173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174" fontId="47" fillId="0" borderId="0" xfId="0" applyNumberFormat="1" applyFont="1" applyFill="1" applyBorder="1" applyAlignment="1">
      <alignment wrapText="1"/>
    </xf>
    <xf numFmtId="0" fontId="51" fillId="0" borderId="9" xfId="0" applyFont="1" applyBorder="1" applyAlignment="1">
      <alignment wrapText="1"/>
    </xf>
    <xf numFmtId="172" fontId="48" fillId="0" borderId="9" xfId="0" applyNumberFormat="1" applyFont="1" applyFill="1" applyBorder="1" applyAlignment="1">
      <alignment horizontal="center" wrapText="1"/>
    </xf>
    <xf numFmtId="4" fontId="48" fillId="0" borderId="9" xfId="0" applyNumberFormat="1" applyFont="1" applyFill="1" applyBorder="1" applyAlignment="1">
      <alignment horizontal="center" wrapText="1"/>
    </xf>
    <xf numFmtId="4" fontId="47" fillId="0" borderId="9" xfId="0" applyNumberFormat="1" applyFont="1" applyFill="1" applyBorder="1" applyAlignment="1">
      <alignment horizontal="center" wrapText="1"/>
    </xf>
    <xf numFmtId="4" fontId="47" fillId="0" borderId="9" xfId="0" applyNumberFormat="1" applyFont="1" applyBorder="1" applyAlignment="1">
      <alignment horizontal="center" wrapText="1"/>
    </xf>
    <xf numFmtId="4" fontId="47" fillId="0" borderId="9" xfId="150" applyNumberFormat="1" applyFont="1" applyFill="1" applyBorder="1" applyAlignment="1">
      <alignment horizontal="center"/>
      <protection/>
    </xf>
    <xf numFmtId="0" fontId="48" fillId="0" borderId="9" xfId="0" applyFont="1" applyFill="1" applyBorder="1" applyAlignment="1">
      <alignment wrapText="1"/>
    </xf>
    <xf numFmtId="172" fontId="43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4" fontId="48" fillId="0" borderId="9" xfId="0" applyNumberFormat="1" applyFont="1" applyBorder="1" applyAlignment="1">
      <alignment horizontal="center" wrapText="1"/>
    </xf>
    <xf numFmtId="0" fontId="51" fillId="0" borderId="9" xfId="0" applyFont="1" applyFill="1" applyBorder="1" applyAlignment="1">
      <alignment wrapText="1"/>
    </xf>
    <xf numFmtId="0" fontId="48" fillId="0" borderId="0" xfId="0" applyFont="1" applyAlignment="1">
      <alignment wrapText="1"/>
    </xf>
    <xf numFmtId="4" fontId="47" fillId="0" borderId="0" xfId="0" applyNumberFormat="1" applyFont="1" applyFill="1" applyAlignment="1">
      <alignment wrapText="1"/>
    </xf>
    <xf numFmtId="182" fontId="47" fillId="0" borderId="0" xfId="0" applyNumberFormat="1" applyFont="1" applyFill="1" applyAlignment="1">
      <alignment wrapText="1"/>
    </xf>
    <xf numFmtId="175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 wrapText="1"/>
    </xf>
    <xf numFmtId="4" fontId="47" fillId="0" borderId="0" xfId="161" applyNumberFormat="1" applyFont="1" applyFill="1" applyBorder="1" applyAlignment="1">
      <alignment wrapText="1"/>
    </xf>
    <xf numFmtId="4" fontId="47" fillId="0" borderId="0" xfId="161" applyNumberFormat="1" applyFont="1" applyFill="1" applyBorder="1" applyAlignment="1">
      <alignment horizontal="center" wrapText="1"/>
    </xf>
    <xf numFmtId="4" fontId="48" fillId="0" borderId="0" xfId="0" applyNumberFormat="1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175" fontId="47" fillId="0" borderId="0" xfId="0" applyNumberFormat="1" applyFont="1" applyFill="1" applyAlignment="1">
      <alignment horizontal="right" wrapText="1"/>
    </xf>
    <xf numFmtId="4" fontId="47" fillId="0" borderId="0" xfId="161" applyNumberFormat="1" applyFont="1" applyFill="1" applyBorder="1" applyAlignment="1">
      <alignment horizontal="right" wrapText="1"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2" fontId="41" fillId="0" borderId="0" xfId="129" applyNumberFormat="1" applyFont="1" applyAlignment="1">
      <alignment horizontal="right" vertical="center" wrapText="1"/>
      <protection/>
    </xf>
    <xf numFmtId="2" fontId="43" fillId="0" borderId="9" xfId="0" applyNumberFormat="1" applyFont="1" applyFill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1" fontId="43" fillId="0" borderId="9" xfId="0" applyNumberFormat="1" applyFont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vertical="center" wrapText="1"/>
    </xf>
    <xf numFmtId="2" fontId="43" fillId="0" borderId="9" xfId="0" applyNumberFormat="1" applyFont="1" applyBorder="1" applyAlignment="1">
      <alignment wrapText="1"/>
    </xf>
    <xf numFmtId="4" fontId="43" fillId="0" borderId="9" xfId="0" applyNumberFormat="1" applyFont="1" applyBorder="1" applyAlignment="1">
      <alignment horizontal="center" vertical="center" wrapText="1"/>
    </xf>
    <xf numFmtId="0" fontId="44" fillId="0" borderId="9" xfId="129" applyFont="1" applyBorder="1" applyAlignment="1">
      <alignment horizontal="center"/>
      <protection/>
    </xf>
    <xf numFmtId="49" fontId="4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42" fillId="0" borderId="0" xfId="129" applyFont="1" applyBorder="1" applyAlignment="1">
      <alignment horizontal="center" vertical="center"/>
      <protection/>
    </xf>
    <xf numFmtId="0" fontId="44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 wrapText="1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12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17" xfId="12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3" fillId="0" borderId="9" xfId="129" applyFont="1" applyBorder="1" applyAlignment="1">
      <alignment horizontal="center" vertical="center" wrapText="1" shrinkToFit="1"/>
      <protection/>
    </xf>
    <xf numFmtId="49" fontId="43" fillId="0" borderId="9" xfId="126" applyNumberFormat="1" applyFont="1" applyFill="1" applyBorder="1" applyAlignment="1" applyProtection="1">
      <alignment horizontal="center" vertical="center" wrapText="1"/>
      <protection locked="0"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1" fillId="0" borderId="9" xfId="129" applyFont="1" applyBorder="1" applyAlignment="1">
      <alignment horizontal="center" vertical="center" wrapText="1"/>
      <protection/>
    </xf>
    <xf numFmtId="0" fontId="41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9" xfId="129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44" fillId="0" borderId="0" xfId="0" applyFont="1" applyAlignment="1">
      <alignment horizontal="right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4" fontId="47" fillId="0" borderId="0" xfId="161" applyNumberFormat="1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5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2" xfId="32"/>
    <cellStyle name="20% — акцент2" xfId="33"/>
    <cellStyle name="20% - Акцент3" xfId="34"/>
    <cellStyle name="20% — акцент3" xfId="35"/>
    <cellStyle name="20% - Акцент4" xfId="36"/>
    <cellStyle name="20% — акцент4" xfId="37"/>
    <cellStyle name="20% - Акцент5" xfId="38"/>
    <cellStyle name="20% — акцент5" xfId="39"/>
    <cellStyle name="20% - Акцент6" xfId="40"/>
    <cellStyle name="20% — акцент6" xfId="41"/>
    <cellStyle name="40% - Акцент1" xfId="42"/>
    <cellStyle name="40% — акцент1" xfId="43"/>
    <cellStyle name="40% - Акцент2" xfId="44"/>
    <cellStyle name="40% — акцент2" xfId="45"/>
    <cellStyle name="40% - Акцент3" xfId="46"/>
    <cellStyle name="40% — акцент3" xfId="47"/>
    <cellStyle name="40% - Акцент4" xfId="48"/>
    <cellStyle name="40% — акцент4" xfId="49"/>
    <cellStyle name="40% - Акцент5" xfId="50"/>
    <cellStyle name="40% — акцент5" xfId="51"/>
    <cellStyle name="40% - Акцент6" xfId="52"/>
    <cellStyle name="40% — акцент6" xfId="53"/>
    <cellStyle name="60% - Акцент1" xfId="54"/>
    <cellStyle name="60% — акцент1" xfId="55"/>
    <cellStyle name="60% - Акцент2" xfId="56"/>
    <cellStyle name="60% — акцент2" xfId="57"/>
    <cellStyle name="60% - Акцент3" xfId="58"/>
    <cellStyle name="60% — акцент3" xfId="59"/>
    <cellStyle name="60% - Акцент4" xfId="60"/>
    <cellStyle name="60% — акцент4" xfId="61"/>
    <cellStyle name="60% - Акцент5" xfId="62"/>
    <cellStyle name="60% — акцент5" xfId="63"/>
    <cellStyle name="60% - Акцент6" xfId="64"/>
    <cellStyle name="60% — акцент6" xfId="65"/>
    <cellStyle name="Action" xfId="66"/>
    <cellStyle name="Cells" xfId="67"/>
    <cellStyle name="Cells 2" xfId="68"/>
    <cellStyle name="Cells_TEPLO.PREDEL.2016.M(v1.0)" xfId="69"/>
    <cellStyle name="Currency [0]" xfId="70"/>
    <cellStyle name="currency1" xfId="71"/>
    <cellStyle name="Currency2" xfId="72"/>
    <cellStyle name="currency3" xfId="73"/>
    <cellStyle name="currency4" xfId="74"/>
    <cellStyle name="DblClick" xfId="75"/>
    <cellStyle name="Followed Hyperlink" xfId="76"/>
    <cellStyle name="Formuls" xfId="77"/>
    <cellStyle name="Header" xfId="78"/>
    <cellStyle name="Header 3" xfId="79"/>
    <cellStyle name="Header_TEPLO.PREDEL.2016.M(v1.0)" xfId="80"/>
    <cellStyle name="Hyperlink" xfId="81"/>
    <cellStyle name="normal" xfId="82"/>
    <cellStyle name="Normal1" xfId="83"/>
    <cellStyle name="Normal2" xfId="84"/>
    <cellStyle name="Percent1" xfId="85"/>
    <cellStyle name="Title" xfId="86"/>
    <cellStyle name="Title 2" xfId="87"/>
    <cellStyle name="Title 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Гиперссылка 2" xfId="99"/>
    <cellStyle name="Гиперссылка 2 2" xfId="100"/>
    <cellStyle name="Гиперссылка 3" xfId="101"/>
    <cellStyle name="Гиперссылка 4" xfId="102"/>
    <cellStyle name="Гиперссылка 5" xfId="103"/>
    <cellStyle name="Гиперссылка 6" xfId="104"/>
    <cellStyle name="Currency" xfId="105"/>
    <cellStyle name="Currency [0]" xfId="106"/>
    <cellStyle name="Заголовок" xfId="107"/>
    <cellStyle name="Заголовок 1" xfId="108"/>
    <cellStyle name="Заголовок 2" xfId="109"/>
    <cellStyle name="Заголовок 3" xfId="110"/>
    <cellStyle name="Заголовок 4" xfId="111"/>
    <cellStyle name="ЗаголовокСтолбца" xfId="112"/>
    <cellStyle name="Значение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0 2" xfId="119"/>
    <cellStyle name="Обычный 12" xfId="120"/>
    <cellStyle name="Обычный 12 2" xfId="121"/>
    <cellStyle name="Обычный 12 3 2" xfId="122"/>
    <cellStyle name="Обычный 14" xfId="123"/>
    <cellStyle name="Обычный 14 2" xfId="124"/>
    <cellStyle name="Обычный 14_UPDATE.WARM.CALC.INDEX.2015.TO.1.2.3" xfId="125"/>
    <cellStyle name="Обычный 2" xfId="126"/>
    <cellStyle name="Обычный 2 10 2" xfId="127"/>
    <cellStyle name="Обычный 2 2" xfId="128"/>
    <cellStyle name="Обычный 2 2 2" xfId="129"/>
    <cellStyle name="Обычный 2 2_масимум" xfId="130"/>
    <cellStyle name="Обычный 2 3" xfId="131"/>
    <cellStyle name="Обычный 2 6" xfId="132"/>
    <cellStyle name="Обычный 2 7" xfId="133"/>
    <cellStyle name="Обычный 2 8" xfId="134"/>
    <cellStyle name="Обычный 2_13 09 24 Баланс (3)" xfId="135"/>
    <cellStyle name="Обычный 20" xfId="136"/>
    <cellStyle name="Обычный 21" xfId="137"/>
    <cellStyle name="Обычный 22" xfId="138"/>
    <cellStyle name="Обычный 23" xfId="139"/>
    <cellStyle name="Обычный 3" xfId="140"/>
    <cellStyle name="Обычный 3 2" xfId="141"/>
    <cellStyle name="Обычный 3 3" xfId="142"/>
    <cellStyle name="Обычный 3 3 2" xfId="143"/>
    <cellStyle name="Обычный 4" xfId="144"/>
    <cellStyle name="Обычный 4 2" xfId="145"/>
    <cellStyle name="Обычный 4_test_расчет тепловой энергии - для разработки 30 03 11" xfId="146"/>
    <cellStyle name="Обычный 5" xfId="147"/>
    <cellStyle name="Обычный 5 5 2" xfId="148"/>
    <cellStyle name="Обычный 5_масимум" xfId="149"/>
    <cellStyle name="Обычный_2013-11-19 расчет котловых тарифов 2014 THE END" xfId="150"/>
    <cellStyle name="Обычный_Лист1_Рсчет расходов на потери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Процентный 3 2" xfId="157"/>
    <cellStyle name="Связанная ячейка" xfId="158"/>
    <cellStyle name="Стиль 1" xfId="159"/>
    <cellStyle name="Текст предупреждения" xfId="160"/>
    <cellStyle name="Comma" xfId="161"/>
    <cellStyle name="Comma [0]" xfId="162"/>
    <cellStyle name="Финансовый 2" xfId="163"/>
    <cellStyle name="Формула" xfId="164"/>
    <cellStyle name="ФормулаВБ_Мониторинг инвестиций" xfId="165"/>
    <cellStyle name="ФормулаНаКонтроль" xfId="166"/>
    <cellStyle name="Хороший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5;&#1072;%202018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&#1056;&#1072;&#1073;&#1086;&#1095;&#1080;&#1081;%20&#1089;&#1090;&#1086;&#1083;\&#1064;&#1072;&#1073;&#1083;&#1086;&#1085;%20&#1087;&#1086;%20&#1090;&#1072;&#1088;&#1080;&#1092;&#1091;%20&#1087;&#1086;&#1090;&#1077;&#1088;&#1100;%20(80%20&#1082;&#1086;&#1087;.)%20&#1084;&#1080;&#1085;&#1080;&#1084;&#1091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"/>
      <sheetName val="расчет инд. тарифов"/>
      <sheetName val="прил. 2"/>
      <sheetName val="прил 3"/>
      <sheetName val="прил 4"/>
      <sheetName val="прил 5"/>
      <sheetName val="приложение к пост. ИТ"/>
    </sheetNames>
    <sheetDataSet>
      <sheetData sheetId="0">
        <row r="7">
          <cell r="C7">
            <v>2252.808233995651</v>
          </cell>
          <cell r="D7">
            <v>2390.419320839227</v>
          </cell>
        </row>
        <row r="19">
          <cell r="C19">
            <v>1759.228233995651</v>
          </cell>
          <cell r="D19">
            <v>2014.2283208392273</v>
          </cell>
        </row>
        <row r="25">
          <cell r="C25">
            <v>1759.228233995651</v>
          </cell>
          <cell r="D25">
            <v>1804.3283208392272</v>
          </cell>
        </row>
        <row r="31">
          <cell r="C31">
            <v>4891.041801944804</v>
          </cell>
          <cell r="D31">
            <v>5321.727460335441</v>
          </cell>
        </row>
        <row r="37">
          <cell r="C37">
            <v>1749.228233995651</v>
          </cell>
          <cell r="D37">
            <v>1794.3283208392272</v>
          </cell>
        </row>
      </sheetData>
      <sheetData sheetId="1">
        <row r="42">
          <cell r="C42">
            <v>357217.079981634</v>
          </cell>
          <cell r="D42">
            <v>643.9679154507023</v>
          </cell>
          <cell r="E42">
            <v>3.237224676789526</v>
          </cell>
          <cell r="F42">
            <v>357217.079981634</v>
          </cell>
          <cell r="G42">
            <v>719.7488425606597</v>
          </cell>
          <cell r="H42">
            <v>3.703949831889152</v>
          </cell>
        </row>
        <row r="43">
          <cell r="C43">
            <v>35930.05140665029</v>
          </cell>
          <cell r="D43">
            <v>290.8694143394946</v>
          </cell>
          <cell r="E43">
            <v>0.6217714595930156</v>
          </cell>
          <cell r="F43">
            <v>35930.05140665029</v>
          </cell>
          <cell r="G43">
            <v>301.0433029055425</v>
          </cell>
          <cell r="H43">
            <v>0.6537590288785008</v>
          </cell>
        </row>
        <row r="44">
          <cell r="C44">
            <v>34130.39204791145</v>
          </cell>
          <cell r="D44">
            <v>25.367917342867617</v>
          </cell>
          <cell r="E44">
            <v>0.39398438520508494</v>
          </cell>
          <cell r="F44">
            <v>34130.39204791145</v>
          </cell>
          <cell r="G44">
            <v>24.26938330097606</v>
          </cell>
          <cell r="H44">
            <v>0.3677406328069299</v>
          </cell>
        </row>
        <row r="45">
          <cell r="C45">
            <v>13487.687265917602</v>
          </cell>
          <cell r="D45">
            <v>415.9269728923402</v>
          </cell>
          <cell r="E45">
            <v>3.03855181134546</v>
          </cell>
          <cell r="F45">
            <v>13487.687265917602</v>
          </cell>
          <cell r="G45">
            <v>428.53632116293704</v>
          </cell>
          <cell r="H45">
            <v>3.1441580165320397</v>
          </cell>
        </row>
        <row r="46">
          <cell r="C46">
            <v>116396.93934646079</v>
          </cell>
          <cell r="D46">
            <v>751.8508585890619</v>
          </cell>
          <cell r="E46">
            <v>4.142480539505156</v>
          </cell>
          <cell r="F46">
            <v>116396.93934646079</v>
          </cell>
          <cell r="G46">
            <v>797.7770995506423</v>
          </cell>
          <cell r="H46">
            <v>4.188406780466736</v>
          </cell>
        </row>
        <row r="47">
          <cell r="C47">
            <v>40570.91007374802</v>
          </cell>
          <cell r="D47">
            <v>143.68380628447903</v>
          </cell>
          <cell r="E47">
            <v>0.5712982488377969</v>
          </cell>
          <cell r="F47">
            <v>40570.91007374802</v>
          </cell>
          <cell r="G47">
            <v>147.1088343360585</v>
          </cell>
          <cell r="H47">
            <v>0.5729684349467874</v>
          </cell>
        </row>
      </sheetData>
      <sheetData sheetId="2">
        <row r="16">
          <cell r="D16">
            <v>1727766.8377624326</v>
          </cell>
          <cell r="E16">
            <v>1745243.7078231736</v>
          </cell>
        </row>
        <row r="17">
          <cell r="D17">
            <v>288.36</v>
          </cell>
          <cell r="E17">
            <v>743.63</v>
          </cell>
        </row>
        <row r="18">
          <cell r="J18">
            <v>1539.9210476</v>
          </cell>
        </row>
        <row r="24">
          <cell r="D24">
            <v>1758458.9446993528</v>
          </cell>
          <cell r="E24">
            <v>1759322.3881165597</v>
          </cell>
        </row>
        <row r="25">
          <cell r="D25">
            <v>307.68012</v>
          </cell>
          <cell r="E25">
            <v>793.4532100000001</v>
          </cell>
        </row>
        <row r="26">
          <cell r="J26">
            <v>1482.4320666564927</v>
          </cell>
        </row>
      </sheetData>
      <sheetData sheetId="3">
        <row r="8">
          <cell r="B8">
            <v>0.3165</v>
          </cell>
          <cell r="C8">
            <v>0.09</v>
          </cell>
          <cell r="D8">
            <v>0.5</v>
          </cell>
        </row>
        <row r="9">
          <cell r="B9">
            <v>0.11082038825030664</v>
          </cell>
          <cell r="C9">
            <v>0.028933072615973436</v>
          </cell>
          <cell r="D9">
            <v>0.14305552579530517</v>
          </cell>
        </row>
        <row r="16">
          <cell r="B16">
            <v>0.3165</v>
          </cell>
          <cell r="C16">
            <v>0.09</v>
          </cell>
          <cell r="D16">
            <v>0.5</v>
          </cell>
        </row>
        <row r="17">
          <cell r="B17">
            <v>0.10830658209094676</v>
          </cell>
          <cell r="C17">
            <v>0.02827674915696239</v>
          </cell>
        </row>
        <row r="25">
          <cell r="E25">
            <v>4731.166647611222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1">
        <row r="26"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тариф покупки потерь"/>
    </sheetNames>
    <sheetDataSet>
      <sheetData sheetId="1">
        <row r="23">
          <cell r="H23">
            <v>133.20555523041716</v>
          </cell>
          <cell r="I23">
            <v>16.344249571658782</v>
          </cell>
          <cell r="J23">
            <v>75.53513026338192</v>
          </cell>
          <cell r="K23">
            <v>76.7413828760864</v>
          </cell>
          <cell r="M23">
            <v>130.9460772781079</v>
          </cell>
          <cell r="N23">
            <v>19.11512306866837</v>
          </cell>
          <cell r="O23">
            <v>70.30178604523545</v>
          </cell>
          <cell r="P23">
            <v>63.357928999922265</v>
          </cell>
        </row>
        <row r="24">
          <cell r="H24">
            <v>0.6283183089776591</v>
          </cell>
          <cell r="M24">
            <v>0.546369623469956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5"/>
  <sheetViews>
    <sheetView view="pageBreakPreview" zoomScale="85" zoomScaleNormal="70" zoomScaleSheetLayoutView="85" workbookViewId="0" topLeftCell="A6">
      <pane xSplit="1" ySplit="7" topLeftCell="D13" activePane="bottomRight" state="frozen"/>
      <selection pane="topLeft" activeCell="A6" sqref="A6"/>
      <selection pane="topRight" activeCell="B6" sqref="B6"/>
      <selection pane="bottomLeft" activeCell="A7" sqref="A7"/>
      <selection pane="bottomRight" activeCell="F31" sqref="F31"/>
    </sheetView>
  </sheetViews>
  <sheetFormatPr defaultColWidth="15.00390625" defaultRowHeight="12.75"/>
  <cols>
    <col min="1" max="1" width="47.25390625" style="1" customWidth="1"/>
    <col min="2" max="2" width="17.75390625" style="1" customWidth="1"/>
    <col min="3" max="4" width="16.875" style="1" customWidth="1"/>
    <col min="5" max="5" width="18.125" style="1" customWidth="1"/>
    <col min="6" max="9" width="16.875" style="1" customWidth="1"/>
    <col min="10" max="10" width="16.625" style="1" customWidth="1"/>
    <col min="11" max="11" width="14.375" style="3" customWidth="1"/>
    <col min="12" max="12" width="16.875" style="1" customWidth="1"/>
    <col min="13" max="13" width="13.125" style="1" customWidth="1"/>
    <col min="14" max="15" width="16.875" style="1" customWidth="1"/>
    <col min="16" max="16" width="18.00390625" style="1" customWidth="1"/>
    <col min="17" max="17" width="11.625" style="1" customWidth="1"/>
    <col min="18" max="18" width="42.00390625" style="1" customWidth="1"/>
    <col min="19" max="19" width="14.125" style="1" customWidth="1"/>
    <col min="20" max="20" width="32.625" style="1" customWidth="1"/>
    <col min="21" max="21" width="12.375" style="1" bestFit="1" customWidth="1"/>
    <col min="22" max="252" width="9.125" style="1" customWidth="1"/>
    <col min="253" max="253" width="39.375" style="1" customWidth="1"/>
    <col min="254" max="16384" width="15.00390625" style="1" customWidth="1"/>
  </cols>
  <sheetData>
    <row r="1" spans="8:15" ht="30" customHeight="1">
      <c r="H1" s="148" t="s">
        <v>0</v>
      </c>
      <c r="I1" s="148"/>
      <c r="J1" s="148"/>
      <c r="K1" s="148"/>
      <c r="L1" s="148"/>
      <c r="M1" s="148"/>
      <c r="N1" s="148"/>
      <c r="O1" s="2"/>
    </row>
    <row r="2" ht="6.75" customHeight="1"/>
    <row r="3" spans="1:15" s="5" customFormat="1" ht="18.7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"/>
    </row>
    <row r="4" spans="1:15" s="5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6"/>
      <c r="M4" s="6"/>
      <c r="N4" s="6"/>
      <c r="O4" s="6"/>
    </row>
    <row r="5" spans="1:15" s="5" customFormat="1" ht="15.75" customHeight="1">
      <c r="A5" s="8" t="s">
        <v>2</v>
      </c>
      <c r="B5" s="9"/>
      <c r="C5" s="9"/>
      <c r="D5" s="9"/>
      <c r="E5" s="9"/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8</v>
      </c>
      <c r="L5" s="11" t="s">
        <v>9</v>
      </c>
      <c r="M5" s="12"/>
      <c r="N5" s="12"/>
      <c r="O5" s="13"/>
    </row>
    <row r="6" spans="1:15" s="5" customFormat="1" ht="15.75" customHeight="1">
      <c r="A6" s="14"/>
      <c r="B6" s="15"/>
      <c r="C6" s="15"/>
      <c r="D6" s="15"/>
      <c r="E6" s="15"/>
      <c r="F6" s="16"/>
      <c r="G6" s="129" t="s">
        <v>80</v>
      </c>
      <c r="H6" s="130"/>
      <c r="I6" s="130"/>
      <c r="J6" s="130"/>
      <c r="K6" s="130"/>
      <c r="L6" s="130"/>
      <c r="M6" s="17"/>
      <c r="N6" s="17"/>
      <c r="O6" s="17"/>
    </row>
    <row r="7" spans="1:15" s="5" customFormat="1" ht="15.75" customHeight="1">
      <c r="A7" s="14"/>
      <c r="B7" s="15"/>
      <c r="C7" s="15"/>
      <c r="D7" s="15"/>
      <c r="E7" s="15"/>
      <c r="F7" s="16"/>
      <c r="G7" s="130"/>
      <c r="H7" s="130"/>
      <c r="I7" s="130"/>
      <c r="J7" s="130"/>
      <c r="K7" s="130"/>
      <c r="L7" s="130"/>
      <c r="M7" s="17"/>
      <c r="N7" s="17"/>
      <c r="O7" s="17"/>
    </row>
    <row r="8" spans="1:15" s="5" customFormat="1" ht="9.75" customHeight="1">
      <c r="A8" s="14"/>
      <c r="B8" s="15"/>
      <c r="C8" s="15"/>
      <c r="D8" s="15"/>
      <c r="E8" s="15"/>
      <c r="F8" s="16"/>
      <c r="G8" s="16"/>
      <c r="H8" s="16"/>
      <c r="I8" s="16"/>
      <c r="J8" s="16"/>
      <c r="K8" s="16"/>
      <c r="L8" s="18"/>
      <c r="M8" s="12"/>
      <c r="N8" s="12"/>
      <c r="O8" s="13"/>
    </row>
    <row r="9" spans="1:15" s="5" customFormat="1" ht="15.75" customHeight="1">
      <c r="A9" s="131" t="s">
        <v>10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2"/>
      <c r="N9" s="12"/>
      <c r="O9" s="13"/>
    </row>
    <row r="10" spans="1:15" s="5" customFormat="1" ht="6.75" customHeight="1">
      <c r="A10" s="14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8"/>
      <c r="M10" s="12"/>
      <c r="N10" s="12"/>
      <c r="O10" s="13"/>
    </row>
    <row r="11" spans="1:15" s="5" customFormat="1" ht="15.75" customHeight="1">
      <c r="A11" s="151" t="s">
        <v>2</v>
      </c>
      <c r="B11" s="128"/>
      <c r="C11" s="128"/>
      <c r="D11" s="128"/>
      <c r="E11" s="128"/>
      <c r="F11" s="141" t="s">
        <v>3</v>
      </c>
      <c r="G11" s="142" t="s">
        <v>4</v>
      </c>
      <c r="H11" s="142" t="s">
        <v>5</v>
      </c>
      <c r="I11" s="142" t="s">
        <v>6</v>
      </c>
      <c r="J11" s="142" t="s">
        <v>7</v>
      </c>
      <c r="K11" s="142" t="s">
        <v>8</v>
      </c>
      <c r="L11" s="141" t="s">
        <v>9</v>
      </c>
      <c r="M11" s="12"/>
      <c r="N11" s="12"/>
      <c r="O11" s="13"/>
    </row>
    <row r="12" spans="1:15" s="5" customFormat="1" ht="155.25" customHeight="1">
      <c r="A12" s="151"/>
      <c r="B12" s="19" t="s">
        <v>11</v>
      </c>
      <c r="C12" s="19" t="s">
        <v>12</v>
      </c>
      <c r="D12" s="19" t="s">
        <v>13</v>
      </c>
      <c r="E12" s="19" t="s">
        <v>14</v>
      </c>
      <c r="F12" s="141"/>
      <c r="G12" s="142"/>
      <c r="H12" s="142"/>
      <c r="I12" s="142"/>
      <c r="J12" s="142"/>
      <c r="K12" s="142"/>
      <c r="L12" s="141"/>
      <c r="M12" s="12"/>
      <c r="N12" s="12"/>
      <c r="O12" s="13"/>
    </row>
    <row r="13" spans="1:15" s="5" customFormat="1" ht="15.75">
      <c r="A13" s="20" t="s">
        <v>15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3"/>
    </row>
    <row r="14" spans="1:17" s="5" customFormat="1" ht="21" customHeight="1">
      <c r="A14" s="24" t="s">
        <v>32</v>
      </c>
      <c r="B14" s="25">
        <v>717.3396865486916</v>
      </c>
      <c r="C14" s="25">
        <v>44.456482864479284</v>
      </c>
      <c r="D14" s="25">
        <f>215.726267574182-'[1]прил 3'!B8</f>
        <v>215.409767574182</v>
      </c>
      <c r="E14" s="25">
        <f>238.713825887773-'[1]прил 3'!C8</f>
        <v>238.623825887773</v>
      </c>
      <c r="F14" s="25" t="s">
        <v>16</v>
      </c>
      <c r="G14" s="25">
        <v>129.69114728671576</v>
      </c>
      <c r="H14" s="25">
        <v>252.43571100744037</v>
      </c>
      <c r="I14" s="25">
        <v>131.49784583102044</v>
      </c>
      <c r="J14" s="25">
        <f>7.70858721400849-'[1]прил 3'!D8</f>
        <v>7.20858721400849</v>
      </c>
      <c r="K14" s="25">
        <v>15.363208660814948</v>
      </c>
      <c r="L14" s="25">
        <f>B14+C14+D14+E14+G14+H14+I14+J14+K14</f>
        <v>1752.026262875126</v>
      </c>
      <c r="M14" s="12"/>
      <c r="N14" s="12"/>
      <c r="O14" s="26"/>
      <c r="P14" s="27"/>
      <c r="Q14" s="28"/>
    </row>
    <row r="15" spans="1:21" s="5" customFormat="1" ht="15.75">
      <c r="A15" s="24" t="s">
        <v>17</v>
      </c>
      <c r="B15" s="29">
        <f>'[3]мощность'!$H$23-'[3]мощность'!$H$24</f>
        <v>132.5772369214395</v>
      </c>
      <c r="C15" s="29">
        <f>'[3]мощность'!$I$23</f>
        <v>16.344249571658782</v>
      </c>
      <c r="D15" s="29">
        <f>'[3]мощность'!$J$23-'[1]прил 3'!B9</f>
        <v>75.42430987513161</v>
      </c>
      <c r="E15" s="29">
        <f>'[3]мощность'!$K$23-'[1]прил 3'!C9</f>
        <v>76.71244980347043</v>
      </c>
      <c r="F15" s="29">
        <v>0.6283183089776591</v>
      </c>
      <c r="G15" s="143">
        <f>153.5548-'[1]прил 3'!D9</f>
        <v>153.41174447420468</v>
      </c>
      <c r="H15" s="144"/>
      <c r="I15" s="144"/>
      <c r="J15" s="144"/>
      <c r="K15" s="144"/>
      <c r="L15" s="25"/>
      <c r="M15" s="30"/>
      <c r="N15" s="12"/>
      <c r="O15" s="26"/>
      <c r="P15" s="27"/>
      <c r="R15" s="31"/>
      <c r="S15" s="31"/>
      <c r="T15" s="31"/>
      <c r="U15" s="31"/>
    </row>
    <row r="16" spans="1:21" s="5" customFormat="1" ht="31.5">
      <c r="A16" s="24" t="s">
        <v>18</v>
      </c>
      <c r="B16" s="25">
        <v>1499155.29</v>
      </c>
      <c r="C16" s="25">
        <v>1678451.275040995</v>
      </c>
      <c r="D16" s="25">
        <v>1727766.8377624326</v>
      </c>
      <c r="E16" s="25">
        <v>1745243.7078231736</v>
      </c>
      <c r="F16" s="25">
        <f>B16</f>
        <v>1499155.29</v>
      </c>
      <c r="G16" s="32"/>
      <c r="H16" s="25"/>
      <c r="I16" s="25"/>
      <c r="J16" s="25"/>
      <c r="K16" s="25"/>
      <c r="L16" s="25"/>
      <c r="M16" s="30"/>
      <c r="N16" s="30"/>
      <c r="O16" s="26"/>
      <c r="R16" s="31"/>
      <c r="S16" s="31"/>
      <c r="T16" s="31"/>
      <c r="U16" s="31"/>
    </row>
    <row r="17" spans="1:15" s="5" customFormat="1" ht="15.75">
      <c r="A17" s="24" t="s">
        <v>33</v>
      </c>
      <c r="B17" s="25">
        <v>68.98</v>
      </c>
      <c r="C17" s="25">
        <v>199.98</v>
      </c>
      <c r="D17" s="25">
        <v>288.36</v>
      </c>
      <c r="E17" s="25">
        <v>743.63</v>
      </c>
      <c r="F17" s="25" t="s">
        <v>16</v>
      </c>
      <c r="G17" s="32"/>
      <c r="H17" s="25"/>
      <c r="I17" s="25"/>
      <c r="J17" s="25"/>
      <c r="K17" s="25"/>
      <c r="L17" s="25"/>
      <c r="M17" s="30"/>
      <c r="N17" s="30"/>
      <c r="O17" s="26"/>
    </row>
    <row r="18" spans="1:18" s="5" customFormat="1" ht="15.75">
      <c r="A18" s="24" t="s">
        <v>34</v>
      </c>
      <c r="B18" s="25">
        <f>(B16*B15*0.006+B14*B17)/B14</f>
        <v>1731.404676548563</v>
      </c>
      <c r="C18" s="25">
        <f>(C16*C15*0.006+C14*C17)/C14</f>
        <v>3902.4357183390543</v>
      </c>
      <c r="D18" s="25">
        <f>(D16*D15*0.006+D14*D17)/D14</f>
        <v>3918.15700031919</v>
      </c>
      <c r="E18" s="25">
        <f>(E16*E15*0.006+E14*E17)/E14</f>
        <v>4109.980862067908</v>
      </c>
      <c r="F18" s="25" t="s">
        <v>16</v>
      </c>
      <c r="G18" s="29">
        <v>1539.9210476000007</v>
      </c>
      <c r="H18" s="29">
        <v>709.4125730237309</v>
      </c>
      <c r="I18" s="29">
        <v>709.4125730237309</v>
      </c>
      <c r="J18" s="29">
        <v>1539.9210476</v>
      </c>
      <c r="K18" s="29">
        <v>709.412573023731</v>
      </c>
      <c r="L18" s="32"/>
      <c r="M18" s="12"/>
      <c r="N18" s="30"/>
      <c r="O18" s="26"/>
      <c r="P18" s="33"/>
      <c r="R18" s="27"/>
    </row>
    <row r="19" spans="1:18" s="5" customFormat="1" ht="15.75">
      <c r="A19" s="24" t="s">
        <v>19</v>
      </c>
      <c r="B19" s="25">
        <f>B14*B17+B15*B16*0.006</f>
        <v>1242005.287964285</v>
      </c>
      <c r="C19" s="25">
        <f>C14*C17+C15*C16*0.006</f>
        <v>173488.56664207208</v>
      </c>
      <c r="D19" s="25">
        <f>D14*D17+D15*D16*0.006</f>
        <v>844009.288757911</v>
      </c>
      <c r="E19" s="25">
        <f>E14*E17+E15*E16*0.006</f>
        <v>980739.3576321716</v>
      </c>
      <c r="F19" s="25">
        <f>F16*F15*0.006</f>
        <v>5651.680300246272</v>
      </c>
      <c r="G19" s="25">
        <f>G14*G18</f>
        <v>199714.12739420534</v>
      </c>
      <c r="H19" s="25">
        <f>H14*H18</f>
        <v>179081.06726886323</v>
      </c>
      <c r="I19" s="25">
        <f>I14*I18</f>
        <v>93286.22515806211</v>
      </c>
      <c r="J19" s="25">
        <f>J14*J18</f>
        <v>11100.65517431192</v>
      </c>
      <c r="K19" s="25">
        <f>K14*K18</f>
        <v>10898.853385969202</v>
      </c>
      <c r="L19" s="34">
        <f>B19+C19+D19+E19+G19+H19+I19+J19+K19+F19</f>
        <v>3739975.109678098</v>
      </c>
      <c r="M19" s="12"/>
      <c r="N19" s="12"/>
      <c r="O19" s="35"/>
      <c r="P19" s="33"/>
      <c r="Q19" s="36"/>
      <c r="R19" s="27"/>
    </row>
    <row r="20" spans="1:18" s="5" customFormat="1" ht="13.5" customHeight="1">
      <c r="A20" s="24"/>
      <c r="B20" s="25"/>
      <c r="C20" s="25"/>
      <c r="D20" s="25"/>
      <c r="E20" s="25"/>
      <c r="F20" s="25"/>
      <c r="G20" s="32"/>
      <c r="H20" s="25"/>
      <c r="I20" s="25"/>
      <c r="J20" s="25"/>
      <c r="K20" s="25"/>
      <c r="L20" s="25"/>
      <c r="M20" s="30"/>
      <c r="N20" s="30"/>
      <c r="O20" s="26"/>
      <c r="P20" s="33"/>
      <c r="Q20" s="36"/>
      <c r="R20" s="27"/>
    </row>
    <row r="21" spans="1:16" s="5" customFormat="1" ht="15.75">
      <c r="A21" s="37" t="s">
        <v>20</v>
      </c>
      <c r="B21" s="25"/>
      <c r="C21" s="25"/>
      <c r="D21" s="25"/>
      <c r="E21" s="25"/>
      <c r="F21" s="25"/>
      <c r="G21" s="32"/>
      <c r="H21" s="25"/>
      <c r="I21" s="25"/>
      <c r="J21" s="25"/>
      <c r="K21" s="25"/>
      <c r="L21" s="25"/>
      <c r="M21" s="30"/>
      <c r="N21" s="30"/>
      <c r="O21" s="26"/>
      <c r="P21" s="33"/>
    </row>
    <row r="22" spans="1:17" s="5" customFormat="1" ht="19.5" customHeight="1">
      <c r="A22" s="24" t="s">
        <v>32</v>
      </c>
      <c r="B22" s="25">
        <v>721.9334727258349</v>
      </c>
      <c r="C22" s="25">
        <v>53.20004881395273</v>
      </c>
      <c r="D22" s="25">
        <f>205.440102104163-'[1]прил 3'!B16</f>
        <v>205.123602104163</v>
      </c>
      <c r="E22" s="25">
        <f>201.657325541221-'[1]прил 3'!C16</f>
        <v>201.567325541221</v>
      </c>
      <c r="F22" s="25" t="s">
        <v>16</v>
      </c>
      <c r="G22" s="25">
        <v>111.47517406127173</v>
      </c>
      <c r="H22" s="25">
        <v>224.37767669213454</v>
      </c>
      <c r="I22" s="38">
        <v>111.11597617898725</v>
      </c>
      <c r="J22" s="38">
        <f>5.91569687252063-'[1]прил 3'!D16</f>
        <v>5.41569687252063</v>
      </c>
      <c r="K22" s="38">
        <v>16.550176195085825</v>
      </c>
      <c r="L22" s="25">
        <f>B22+C22+D22+E22+G22+H22+I22+J22+K22</f>
        <v>1650.7591491851717</v>
      </c>
      <c r="M22" s="12"/>
      <c r="N22" s="12"/>
      <c r="O22" s="35"/>
      <c r="P22" s="33"/>
      <c r="Q22" s="27"/>
    </row>
    <row r="23" spans="1:16" s="5" customFormat="1" ht="16.5" customHeight="1">
      <c r="A23" s="24" t="s">
        <v>17</v>
      </c>
      <c r="B23" s="29">
        <f>'[3]мощность'!$M$23-'[3]мощность'!$M$24</f>
        <v>130.39970765463795</v>
      </c>
      <c r="C23" s="29">
        <f>'[3]мощность'!$N$23</f>
        <v>19.11512306866837</v>
      </c>
      <c r="D23" s="29">
        <f>'[3]мощность'!$O$23-'[1]прил 3'!B17</f>
        <v>70.1934794631445</v>
      </c>
      <c r="E23" s="29">
        <f>'[3]мощность'!$P$23-'[1]прил 3'!C17</f>
        <v>63.3296522507653</v>
      </c>
      <c r="F23" s="29">
        <v>0.546369623469956</v>
      </c>
      <c r="G23" s="143">
        <f>134.398-'прил 3'!D17</f>
        <v>134.25469859790712</v>
      </c>
      <c r="H23" s="144"/>
      <c r="I23" s="144"/>
      <c r="J23" s="144"/>
      <c r="K23" s="144"/>
      <c r="L23" s="25"/>
      <c r="M23" s="39"/>
      <c r="N23" s="12"/>
      <c r="O23" s="35"/>
      <c r="P23" s="33"/>
    </row>
    <row r="24" spans="1:16" s="5" customFormat="1" ht="31.5">
      <c r="A24" s="24" t="s">
        <v>18</v>
      </c>
      <c r="B24" s="25">
        <v>1574367.004315305</v>
      </c>
      <c r="C24" s="25">
        <v>1711193.4134249508</v>
      </c>
      <c r="D24" s="25">
        <v>1758458.9446993528</v>
      </c>
      <c r="E24" s="25">
        <v>1759322.3881165597</v>
      </c>
      <c r="F24" s="25">
        <f>B24</f>
        <v>1574367.004315305</v>
      </c>
      <c r="G24" s="32"/>
      <c r="H24" s="25"/>
      <c r="I24" s="25"/>
      <c r="J24" s="25"/>
      <c r="K24" s="25"/>
      <c r="L24" s="25"/>
      <c r="M24" s="30"/>
      <c r="N24" s="30"/>
      <c r="O24" s="26"/>
      <c r="P24" s="33"/>
    </row>
    <row r="25" spans="1:20" s="5" customFormat="1" ht="15.75">
      <c r="A25" s="24" t="s">
        <v>35</v>
      </c>
      <c r="B25" s="25">
        <v>73.60166</v>
      </c>
      <c r="C25" s="25">
        <v>213.37865999999997</v>
      </c>
      <c r="D25" s="25">
        <v>307.68012</v>
      </c>
      <c r="E25" s="25">
        <v>793.4532100000001</v>
      </c>
      <c r="F25" s="25" t="s">
        <v>16</v>
      </c>
      <c r="G25" s="32"/>
      <c r="H25" s="25"/>
      <c r="I25" s="25"/>
      <c r="J25" s="25"/>
      <c r="K25" s="25"/>
      <c r="L25" s="25"/>
      <c r="M25" s="30"/>
      <c r="N25" s="30"/>
      <c r="O25" s="26"/>
      <c r="P25" s="33"/>
      <c r="T25" s="27"/>
    </row>
    <row r="26" spans="1:19" s="5" customFormat="1" ht="15.75">
      <c r="A26" s="24" t="s">
        <v>34</v>
      </c>
      <c r="B26" s="25">
        <f>(B24*B23*0.006+B22*B25)/B22</f>
        <v>1779.8281048994888</v>
      </c>
      <c r="C26" s="25">
        <f>(C24*C23*0.006+C22*C25)/C22</f>
        <v>3902.436105000003</v>
      </c>
      <c r="D26" s="25">
        <f>(D24*D23*0.006+D22*D25)/D22</f>
        <v>3918.1574289600017</v>
      </c>
      <c r="E26" s="25">
        <f>(E24*E23*0.006+E22*E25)/E22</f>
        <v>4109.981066999995</v>
      </c>
      <c r="F26" s="25" t="s">
        <v>16</v>
      </c>
      <c r="G26" s="29">
        <v>1482.4320666564927</v>
      </c>
      <c r="H26" s="29">
        <v>618.0252869954758</v>
      </c>
      <c r="I26" s="29">
        <v>618.0252869954758</v>
      </c>
      <c r="J26" s="29">
        <v>1482.4320666564927</v>
      </c>
      <c r="K26" s="29">
        <v>618.0252869954758</v>
      </c>
      <c r="L26" s="32"/>
      <c r="M26" s="12"/>
      <c r="N26" s="30"/>
      <c r="O26" s="26"/>
      <c r="P26" s="33"/>
      <c r="S26" s="40"/>
    </row>
    <row r="27" spans="1:19" s="5" customFormat="1" ht="15.75">
      <c r="A27" s="24" t="s">
        <v>19</v>
      </c>
      <c r="B27" s="25">
        <f>B22*B25+B23*B24*0.006</f>
        <v>1284917.4846251295</v>
      </c>
      <c r="C27" s="25">
        <f>C22*C25+C23*C24*0.006</f>
        <v>207609.79127933172</v>
      </c>
      <c r="D27" s="25">
        <f>D22*D25+D23*D24*0.006</f>
        <v>803706.5654394617</v>
      </c>
      <c r="E27" s="25">
        <f>E22*E25+E23*E24*0.006</f>
        <v>828437.8917002429</v>
      </c>
      <c r="F27" s="25">
        <f>F24*F23*0.006</f>
        <v>5161.117844107655</v>
      </c>
      <c r="G27" s="25">
        <f>G22*G26</f>
        <v>165254.3726645433</v>
      </c>
      <c r="H27" s="25">
        <f>H22*H26</f>
        <v>138671.07803303452</v>
      </c>
      <c r="I27" s="25">
        <f>I22*I26</f>
        <v>68672.48306780105</v>
      </c>
      <c r="J27" s="25">
        <f>J22*J26</f>
        <v>8028.402707115861</v>
      </c>
      <c r="K27" s="25">
        <f>K22*K26</f>
        <v>10228.427392793608</v>
      </c>
      <c r="L27" s="34">
        <f>B27+C27+D27+E27+G27+H27+I27+J27+K27+F27</f>
        <v>3520687.6147535625</v>
      </c>
      <c r="M27" s="12"/>
      <c r="N27" s="30"/>
      <c r="O27" s="26"/>
      <c r="P27" s="33"/>
      <c r="S27" s="40"/>
    </row>
    <row r="28" spans="1:16" s="5" customFormat="1" ht="15.75">
      <c r="A28" s="24"/>
      <c r="B28" s="25"/>
      <c r="C28" s="25"/>
      <c r="D28" s="25"/>
      <c r="E28" s="25"/>
      <c r="F28" s="25"/>
      <c r="G28" s="32"/>
      <c r="H28" s="25"/>
      <c r="I28" s="25"/>
      <c r="J28" s="25"/>
      <c r="K28" s="25"/>
      <c r="L28" s="25"/>
      <c r="M28" s="30"/>
      <c r="N28" s="30"/>
      <c r="O28" s="26"/>
      <c r="P28" s="41"/>
    </row>
    <row r="29" spans="1:16" s="5" customFormat="1" ht="15.75">
      <c r="A29" s="37" t="s">
        <v>21</v>
      </c>
      <c r="B29" s="25"/>
      <c r="C29" s="25"/>
      <c r="D29" s="25"/>
      <c r="E29" s="25"/>
      <c r="F29" s="25"/>
      <c r="G29" s="32"/>
      <c r="H29" s="25"/>
      <c r="I29" s="25"/>
      <c r="J29" s="25"/>
      <c r="K29" s="25"/>
      <c r="L29" s="25"/>
      <c r="M29" s="26"/>
      <c r="N29" s="26"/>
      <c r="O29" s="26"/>
      <c r="P29" s="41"/>
    </row>
    <row r="30" spans="1:17" s="5" customFormat="1" ht="15.75">
      <c r="A30" s="24" t="s">
        <v>32</v>
      </c>
      <c r="B30" s="25">
        <f>B14+B22</f>
        <v>1439.2731592745265</v>
      </c>
      <c r="C30" s="25">
        <f>C14+C22</f>
        <v>97.65653167843202</v>
      </c>
      <c r="D30" s="25">
        <f>D14+D22</f>
        <v>420.533369678345</v>
      </c>
      <c r="E30" s="25">
        <f>E14+E22</f>
        <v>440.191151428994</v>
      </c>
      <c r="F30" s="25" t="s">
        <v>16</v>
      </c>
      <c r="G30" s="25">
        <f>G14+G22</f>
        <v>241.1663213479875</v>
      </c>
      <c r="H30" s="25">
        <f>H14+H22</f>
        <v>476.81338769957495</v>
      </c>
      <c r="I30" s="25">
        <f>I14+I22</f>
        <v>242.6138220100077</v>
      </c>
      <c r="J30" s="25">
        <f>J14+J22</f>
        <v>12.62428408652912</v>
      </c>
      <c r="K30" s="25">
        <f>K14+K22</f>
        <v>31.913384855900773</v>
      </c>
      <c r="L30" s="25">
        <f>B30+C30+D30+E30+G30+H30+I30+J30+K30</f>
        <v>3402.785412060298</v>
      </c>
      <c r="M30" s="12"/>
      <c r="N30" s="12"/>
      <c r="O30" s="42"/>
      <c r="P30" s="43"/>
      <c r="Q30" s="44"/>
    </row>
    <row r="31" spans="1:19" s="5" customFormat="1" ht="15.75" customHeight="1">
      <c r="A31" s="24" t="s">
        <v>22</v>
      </c>
      <c r="B31" s="25">
        <f aca="true" t="shared" si="0" ref="B31:K31">B19+B27</f>
        <v>2526922.7725894144</v>
      </c>
      <c r="C31" s="25">
        <f t="shared" si="0"/>
        <v>381098.35792140383</v>
      </c>
      <c r="D31" s="25">
        <f t="shared" si="0"/>
        <v>1647715.8541973727</v>
      </c>
      <c r="E31" s="25">
        <f t="shared" si="0"/>
        <v>1809177.2493324145</v>
      </c>
      <c r="F31" s="25">
        <f t="shared" si="0"/>
        <v>10812.798144353928</v>
      </c>
      <c r="G31" s="25">
        <f t="shared" si="0"/>
        <v>364968.50005874864</v>
      </c>
      <c r="H31" s="25">
        <f t="shared" si="0"/>
        <v>317752.1453018978</v>
      </c>
      <c r="I31" s="25">
        <f t="shared" si="0"/>
        <v>161958.70822586317</v>
      </c>
      <c r="J31" s="25">
        <f t="shared" si="0"/>
        <v>19129.05788142778</v>
      </c>
      <c r="K31" s="25">
        <f t="shared" si="0"/>
        <v>21127.28077876281</v>
      </c>
      <c r="L31" s="34">
        <f>B31+C31+D31+E31+G31+H31+I31+J31+K31+F31</f>
        <v>7260662.724431659</v>
      </c>
      <c r="M31" s="12"/>
      <c r="N31" s="12"/>
      <c r="O31" s="35"/>
      <c r="P31" s="33"/>
      <c r="Q31" s="44"/>
      <c r="S31" s="44"/>
    </row>
    <row r="32" spans="1:19" s="5" customFormat="1" ht="15.75" hidden="1">
      <c r="A32" s="45"/>
      <c r="B32" s="26">
        <f>B30-'[2]прил 3 испр'!C26</f>
        <v>36.4539660487726</v>
      </c>
      <c r="C32" s="26">
        <f>C30-'[2]прил 3 испр'!D26</f>
        <v>16.21155510955451</v>
      </c>
      <c r="D32" s="26">
        <f>D30-'[2]прил 3 испр'!E26</f>
        <v>37.554694063949</v>
      </c>
      <c r="E32" s="46">
        <f>E30-'[2]прил 3 испр'!F26</f>
        <v>-24.369440173513908</v>
      </c>
      <c r="F32" s="46"/>
      <c r="G32" s="26"/>
      <c r="H32" s="26">
        <f>G30-'[2]прил 3 испр'!H26</f>
        <v>-10.904156358057662</v>
      </c>
      <c r="I32" s="26">
        <f>H30-'[2]прил 3 испр'!I26</f>
        <v>17.519678222427842</v>
      </c>
      <c r="J32" s="26"/>
      <c r="K32" s="26">
        <f>I30-'[2]прил 3 испр'!J26</f>
        <v>2.1741544400722717</v>
      </c>
      <c r="L32" s="26">
        <f>J30-'[2]прил 3 испр'!K26</f>
        <v>-4.117559726285659</v>
      </c>
      <c r="M32" s="26">
        <f>K30-'[2]прил 3 испр'!L26</f>
        <v>0.24038639761852565</v>
      </c>
      <c r="N32" s="26">
        <f>L30-'[2]прил 3 испр'!M26</f>
        <v>-963.9773195168355</v>
      </c>
      <c r="O32" s="26"/>
      <c r="P32" s="33"/>
      <c r="Q32" s="44"/>
      <c r="S32" s="44"/>
    </row>
    <row r="33" spans="1:19" s="5" customFormat="1" ht="15.75" hidden="1">
      <c r="A33" s="45"/>
      <c r="B33" s="26"/>
      <c r="C33" s="26"/>
      <c r="D33" s="150">
        <f>D32+E32</f>
        <v>13.185253890435092</v>
      </c>
      <c r="E33" s="150"/>
      <c r="F33" s="46"/>
      <c r="G33" s="26"/>
      <c r="H33" s="26"/>
      <c r="I33" s="26"/>
      <c r="J33" s="26"/>
      <c r="K33" s="26"/>
      <c r="L33" s="26"/>
      <c r="M33" s="26"/>
      <c r="N33" s="35"/>
      <c r="O33" s="35"/>
      <c r="P33" s="33"/>
      <c r="Q33" s="44"/>
      <c r="S33" s="44"/>
    </row>
    <row r="34" spans="1:18" s="52" customFormat="1" ht="12.75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9"/>
      <c r="L34" s="48"/>
      <c r="M34" s="48"/>
      <c r="N34" s="48"/>
      <c r="O34" s="48"/>
      <c r="P34" s="50"/>
      <c r="Q34" s="51"/>
      <c r="R34" s="51"/>
    </row>
    <row r="35" spans="1:15" s="55" customFormat="1" ht="33.75" customHeight="1">
      <c r="A35" s="147" t="s">
        <v>23</v>
      </c>
      <c r="B35" s="147" t="s">
        <v>24</v>
      </c>
      <c r="C35" s="138" t="s">
        <v>25</v>
      </c>
      <c r="D35" s="139"/>
      <c r="E35" s="140"/>
      <c r="F35" s="138" t="s">
        <v>26</v>
      </c>
      <c r="G35" s="140"/>
      <c r="H35" s="138" t="s">
        <v>27</v>
      </c>
      <c r="I35" s="139"/>
      <c r="J35" s="140"/>
      <c r="K35" s="135"/>
      <c r="L35" s="136"/>
      <c r="M35" s="136"/>
      <c r="N35" s="136"/>
      <c r="O35" s="137"/>
    </row>
    <row r="36" spans="1:15" s="55" customFormat="1" ht="15.75">
      <c r="A36" s="147"/>
      <c r="B36" s="147"/>
      <c r="C36" s="53" t="s">
        <v>21</v>
      </c>
      <c r="D36" s="53" t="s">
        <v>28</v>
      </c>
      <c r="E36" s="53" t="s">
        <v>29</v>
      </c>
      <c r="F36" s="53" t="s">
        <v>28</v>
      </c>
      <c r="G36" s="53" t="s">
        <v>29</v>
      </c>
      <c r="H36" s="53" t="s">
        <v>21</v>
      </c>
      <c r="I36" s="53" t="s">
        <v>28</v>
      </c>
      <c r="J36" s="53" t="s">
        <v>29</v>
      </c>
      <c r="K36" s="56"/>
      <c r="L36" s="54"/>
      <c r="M36" s="57"/>
      <c r="N36" s="57"/>
      <c r="O36" s="57"/>
    </row>
    <row r="37" spans="1:17" s="64" customFormat="1" ht="25.5" customHeight="1">
      <c r="A37" s="145">
        <v>3270289.44</v>
      </c>
      <c r="B37" s="59" t="s">
        <v>30</v>
      </c>
      <c r="C37" s="58">
        <f>D37+E37</f>
        <v>265.4357</v>
      </c>
      <c r="D37" s="58">
        <v>142.7816</v>
      </c>
      <c r="E37" s="58">
        <v>122.6541</v>
      </c>
      <c r="F37" s="58">
        <f>'[1]Расчет тарифа на потери'!C7</f>
        <v>2252.808233995651</v>
      </c>
      <c r="G37" s="58">
        <f>'[1]Расчет тарифа на потери'!D7</f>
        <v>2390.419320839227</v>
      </c>
      <c r="H37" s="58">
        <f>I37+J37</f>
        <v>614854.2945632201</v>
      </c>
      <c r="I37" s="58">
        <f>D37*F37</f>
        <v>321659.5641430734</v>
      </c>
      <c r="J37" s="58">
        <f>E37*G37</f>
        <v>293194.73042014666</v>
      </c>
      <c r="K37" s="60"/>
      <c r="L37" s="61"/>
      <c r="M37" s="60"/>
      <c r="N37" s="60"/>
      <c r="O37" s="60"/>
      <c r="P37" s="62"/>
      <c r="Q37" s="63"/>
    </row>
    <row r="38" spans="1:15" s="55" customFormat="1" ht="15.75">
      <c r="A38" s="146"/>
      <c r="B38" s="65" t="s">
        <v>9</v>
      </c>
      <c r="C38" s="58">
        <f>D38+E38</f>
        <v>265.4357</v>
      </c>
      <c r="D38" s="66">
        <f>D37</f>
        <v>142.7816</v>
      </c>
      <c r="E38" s="66">
        <f>E37</f>
        <v>122.6541</v>
      </c>
      <c r="F38" s="34" t="s">
        <v>31</v>
      </c>
      <c r="G38" s="34" t="s">
        <v>31</v>
      </c>
      <c r="H38" s="34">
        <f>H37</f>
        <v>614854.2945632201</v>
      </c>
      <c r="I38" s="34">
        <f>I37</f>
        <v>321659.5641430734</v>
      </c>
      <c r="J38" s="34">
        <f>J37</f>
        <v>293194.73042014666</v>
      </c>
      <c r="K38" s="60"/>
      <c r="L38" s="39"/>
      <c r="M38" s="67"/>
      <c r="N38" s="67"/>
      <c r="O38" s="67"/>
    </row>
    <row r="39" spans="1:11" ht="15.75">
      <c r="A39" s="68"/>
      <c r="H39" s="69"/>
      <c r="I39" s="69"/>
      <c r="J39" s="69"/>
      <c r="K39" s="70"/>
    </row>
    <row r="40" spans="2:18" ht="12.75" hidden="1">
      <c r="B40" s="69"/>
      <c r="H40" s="71"/>
      <c r="I40" s="71"/>
      <c r="J40" s="71"/>
      <c r="K40" s="72"/>
      <c r="N40" s="73">
        <f>L31-A37-I37</f>
        <v>3668713.720288586</v>
      </c>
      <c r="O40" s="73"/>
      <c r="R40" s="69"/>
    </row>
    <row r="43" ht="12.75">
      <c r="K43" s="70"/>
    </row>
    <row r="44" ht="12.75">
      <c r="K44" s="70"/>
    </row>
    <row r="45" ht="12.75">
      <c r="K45" s="70"/>
    </row>
  </sheetData>
  <sheetProtection formatColumns="0" formatRows="0" autoFilter="0"/>
  <mergeCells count="23">
    <mergeCell ref="H1:N1"/>
    <mergeCell ref="A3:N3"/>
    <mergeCell ref="G15:K15"/>
    <mergeCell ref="D33:E33"/>
    <mergeCell ref="A11:A12"/>
    <mergeCell ref="B11:E11"/>
    <mergeCell ref="G6:L7"/>
    <mergeCell ref="A9:L9"/>
    <mergeCell ref="A37:A38"/>
    <mergeCell ref="F11:F12"/>
    <mergeCell ref="G11:G12"/>
    <mergeCell ref="H11:H12"/>
    <mergeCell ref="A35:A36"/>
    <mergeCell ref="B35:B36"/>
    <mergeCell ref="K35:O35"/>
    <mergeCell ref="C35:E35"/>
    <mergeCell ref="F35:G35"/>
    <mergeCell ref="L11:L12"/>
    <mergeCell ref="I11:I12"/>
    <mergeCell ref="J11:J12"/>
    <mergeCell ref="K11:K12"/>
    <mergeCell ref="H35:J35"/>
    <mergeCell ref="G23:K23"/>
  </mergeCells>
  <dataValidations count="2">
    <dataValidation type="decimal" allowBlank="1" showErrorMessage="1" errorTitle="Ошибка" error="Допускается ввод только действительных чисел!" sqref="I22:K2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0:K11 G5:K5 G8:K8 G6">
      <formula1>900</formula1>
    </dataValidation>
  </dataValidations>
  <printOptions/>
  <pageMargins left="0.29" right="0.16" top="0.31" bottom="0.15" header="0.47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D10" sqref="D10"/>
    </sheetView>
  </sheetViews>
  <sheetFormatPr defaultColWidth="15.00390625" defaultRowHeight="12.75"/>
  <cols>
    <col min="1" max="1" width="45.25390625" style="1" customWidth="1"/>
    <col min="2" max="2" width="16.125" style="1" customWidth="1"/>
    <col min="3" max="3" width="17.75390625" style="1" customWidth="1"/>
    <col min="4" max="4" width="17.625" style="1" customWidth="1"/>
    <col min="5" max="5" width="17.3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32" t="s">
        <v>81</v>
      </c>
      <c r="D1" s="132"/>
      <c r="E1" s="132"/>
      <c r="F1" s="74"/>
      <c r="G1" s="74"/>
      <c r="H1" s="74"/>
      <c r="I1" s="74"/>
    </row>
    <row r="3" spans="1:5" s="5" customFormat="1" ht="37.5" customHeight="1">
      <c r="A3" s="133" t="s">
        <v>36</v>
      </c>
      <c r="B3" s="133"/>
      <c r="C3" s="133"/>
      <c r="D3" s="133"/>
      <c r="E3" s="133"/>
    </row>
    <row r="4" spans="1:5" s="5" customFormat="1" ht="15.75">
      <c r="A4" s="6"/>
      <c r="B4" s="6"/>
      <c r="C4" s="6"/>
      <c r="D4" s="6"/>
      <c r="E4" s="6"/>
    </row>
    <row r="5" spans="1:5" s="5" customFormat="1" ht="15.75" customHeight="1">
      <c r="A5" s="151" t="s">
        <v>2</v>
      </c>
      <c r="B5" s="128" t="s">
        <v>37</v>
      </c>
      <c r="C5" s="128"/>
      <c r="D5" s="134" t="s">
        <v>7</v>
      </c>
      <c r="E5" s="141" t="s">
        <v>9</v>
      </c>
    </row>
    <row r="6" spans="1:5" s="5" customFormat="1" ht="58.5" customHeight="1">
      <c r="A6" s="151"/>
      <c r="B6" s="19" t="s">
        <v>13</v>
      </c>
      <c r="C6" s="19" t="s">
        <v>14</v>
      </c>
      <c r="D6" s="152"/>
      <c r="E6" s="141"/>
    </row>
    <row r="7" spans="1:5" s="5" customFormat="1" ht="15.75">
      <c r="A7" s="20" t="s">
        <v>15</v>
      </c>
      <c r="B7" s="21"/>
      <c r="C7" s="21"/>
      <c r="D7" s="21"/>
      <c r="E7" s="21"/>
    </row>
    <row r="8" spans="1:7" s="5" customFormat="1" ht="17.25" customHeight="1">
      <c r="A8" s="24" t="s">
        <v>32</v>
      </c>
      <c r="B8" s="75">
        <v>0.3165</v>
      </c>
      <c r="C8" s="75">
        <f>90/1000</f>
        <v>0.09</v>
      </c>
      <c r="D8" s="75">
        <f>500/1000</f>
        <v>0.5</v>
      </c>
      <c r="E8" s="75">
        <f>SUM(B8:D8)</f>
        <v>0.9065</v>
      </c>
      <c r="F8" s="27"/>
      <c r="G8" s="28"/>
    </row>
    <row r="9" spans="1:11" s="5" customFormat="1" ht="18" customHeight="1">
      <c r="A9" s="24" t="s">
        <v>17</v>
      </c>
      <c r="B9" s="25">
        <v>0.11082038825030664</v>
      </c>
      <c r="C9" s="25">
        <v>0.028933072615973436</v>
      </c>
      <c r="D9" s="25">
        <v>0.14305552579530517</v>
      </c>
      <c r="E9" s="25">
        <f>SUM(B9:D9)</f>
        <v>0.28280898666158527</v>
      </c>
      <c r="H9" s="31"/>
      <c r="I9" s="31"/>
      <c r="J9" s="31"/>
      <c r="K9" s="31"/>
    </row>
    <row r="10" spans="1:11" s="5" customFormat="1" ht="31.5">
      <c r="A10" s="24" t="s">
        <v>18</v>
      </c>
      <c r="B10" s="25">
        <f>'[1]прил. 2'!D16</f>
        <v>1727766.8377624326</v>
      </c>
      <c r="C10" s="25">
        <f>'[1]прил. 2'!E16</f>
        <v>1745243.7078231736</v>
      </c>
      <c r="D10" s="25"/>
      <c r="E10" s="25"/>
      <c r="H10" s="31"/>
      <c r="I10" s="31"/>
      <c r="J10" s="31"/>
      <c r="K10" s="31"/>
    </row>
    <row r="11" spans="1:5" s="5" customFormat="1" ht="15.75">
      <c r="A11" s="24" t="s">
        <v>35</v>
      </c>
      <c r="B11" s="25">
        <f>'[1]прил. 2'!D17</f>
        <v>288.36</v>
      </c>
      <c r="C11" s="25">
        <f>'[1]прил. 2'!E17</f>
        <v>743.63</v>
      </c>
      <c r="D11" s="25"/>
      <c r="E11" s="25"/>
    </row>
    <row r="12" spans="1:8" s="5" customFormat="1" ht="15.75">
      <c r="A12" s="24" t="s">
        <v>34</v>
      </c>
      <c r="B12" s="25">
        <f>(B8*B11+B9*0.006*B10)/B8</f>
        <v>3918.157000319192</v>
      </c>
      <c r="C12" s="25">
        <f>(C8*C11+C9*0.006*C10)/C8</f>
        <v>4109.980862067908</v>
      </c>
      <c r="D12" s="25">
        <f>'[1]прил. 2'!J18</f>
        <v>1539.9210476</v>
      </c>
      <c r="E12" s="25"/>
      <c r="F12" s="41"/>
      <c r="H12" s="27"/>
    </row>
    <row r="13" spans="1:8" s="5" customFormat="1" ht="15.75">
      <c r="A13" s="24" t="s">
        <v>22</v>
      </c>
      <c r="B13" s="25">
        <f>B8*B12</f>
        <v>1240.0966906010242</v>
      </c>
      <c r="C13" s="25">
        <f>C8*C12</f>
        <v>369.8982775861117</v>
      </c>
      <c r="D13" s="25">
        <f>D8*D12</f>
        <v>769.9605238</v>
      </c>
      <c r="E13" s="34">
        <f>B13+C13+D13</f>
        <v>2379.9554919871357</v>
      </c>
      <c r="F13" s="33"/>
      <c r="G13" s="36"/>
      <c r="H13" s="27"/>
    </row>
    <row r="14" spans="1:8" s="5" customFormat="1" ht="15.75">
      <c r="A14" s="24"/>
      <c r="B14" s="25"/>
      <c r="C14" s="25"/>
      <c r="D14" s="25"/>
      <c r="E14" s="34"/>
      <c r="F14" s="33"/>
      <c r="G14" s="36"/>
      <c r="H14" s="27"/>
    </row>
    <row r="15" spans="1:8" s="5" customFormat="1" ht="15.75">
      <c r="A15" s="20" t="s">
        <v>20</v>
      </c>
      <c r="B15" s="25"/>
      <c r="C15" s="25"/>
      <c r="D15" s="25"/>
      <c r="E15" s="34"/>
      <c r="F15" s="33"/>
      <c r="G15" s="36"/>
      <c r="H15" s="27"/>
    </row>
    <row r="16" spans="1:8" s="5" customFormat="1" ht="21" customHeight="1">
      <c r="A16" s="24" t="s">
        <v>32</v>
      </c>
      <c r="B16" s="75">
        <v>0.3165</v>
      </c>
      <c r="C16" s="75">
        <f>90/1000</f>
        <v>0.09</v>
      </c>
      <c r="D16" s="75">
        <f>500/1000</f>
        <v>0.5</v>
      </c>
      <c r="E16" s="75">
        <f>SUM(B16:D16)</f>
        <v>0.9065</v>
      </c>
      <c r="F16" s="33"/>
      <c r="G16" s="36"/>
      <c r="H16" s="27"/>
    </row>
    <row r="17" spans="1:8" s="5" customFormat="1" ht="15.75">
      <c r="A17" s="24" t="s">
        <v>17</v>
      </c>
      <c r="B17" s="25">
        <v>0.10830658209094676</v>
      </c>
      <c r="C17" s="25">
        <v>0.02827674915696239</v>
      </c>
      <c r="D17" s="25">
        <v>0.14330140209287134</v>
      </c>
      <c r="E17" s="25">
        <f>SUM(B17:D17)</f>
        <v>0.2798847333407805</v>
      </c>
      <c r="F17" s="33"/>
      <c r="G17" s="36"/>
      <c r="H17" s="27"/>
    </row>
    <row r="18" spans="1:8" s="5" customFormat="1" ht="31.5">
      <c r="A18" s="24" t="s">
        <v>18</v>
      </c>
      <c r="B18" s="25">
        <f>'[1]прил. 2'!D24</f>
        <v>1758458.9446993528</v>
      </c>
      <c r="C18" s="25">
        <f>'[1]прил. 2'!E24</f>
        <v>1759322.3881165597</v>
      </c>
      <c r="D18" s="25"/>
      <c r="E18" s="34"/>
      <c r="F18" s="33"/>
      <c r="G18" s="36"/>
      <c r="H18" s="27"/>
    </row>
    <row r="19" spans="1:8" s="5" customFormat="1" ht="15.75">
      <c r="A19" s="24" t="s">
        <v>35</v>
      </c>
      <c r="B19" s="25">
        <f>'[1]прил. 2'!D25</f>
        <v>307.68012</v>
      </c>
      <c r="C19" s="25">
        <f>'[1]прил. 2'!E25</f>
        <v>793.4532100000001</v>
      </c>
      <c r="D19" s="25"/>
      <c r="E19" s="34"/>
      <c r="F19" s="33"/>
      <c r="G19" s="36"/>
      <c r="H19" s="27"/>
    </row>
    <row r="20" spans="1:8" s="5" customFormat="1" ht="15.75">
      <c r="A20" s="24" t="s">
        <v>34</v>
      </c>
      <c r="B20" s="25">
        <f>(B16*B19+B17*0.006*B18)/B16</f>
        <v>3918.1574289600017</v>
      </c>
      <c r="C20" s="25">
        <f>(C16*C19+C17*0.006*C18)/C16</f>
        <v>4109.981067</v>
      </c>
      <c r="D20" s="25">
        <f>'[1]прил. 2'!J26</f>
        <v>1482.4320666564927</v>
      </c>
      <c r="E20" s="34"/>
      <c r="F20" s="33"/>
      <c r="G20" s="36"/>
      <c r="H20" s="27"/>
    </row>
    <row r="21" spans="1:8" s="5" customFormat="1" ht="17.25" customHeight="1">
      <c r="A21" s="24" t="s">
        <v>22</v>
      </c>
      <c r="B21" s="25">
        <f>B16*B20</f>
        <v>1240.0968262658405</v>
      </c>
      <c r="C21" s="25">
        <f>C16*C20</f>
        <v>369.89829603</v>
      </c>
      <c r="D21" s="25">
        <f>D16*D20</f>
        <v>741.2160333282463</v>
      </c>
      <c r="E21" s="34">
        <f>B21+C21+D21</f>
        <v>2351.211155624087</v>
      </c>
      <c r="F21" s="33"/>
      <c r="G21" s="36"/>
      <c r="H21" s="27"/>
    </row>
    <row r="22" spans="1:6" s="5" customFormat="1" ht="15.75">
      <c r="A22" s="24"/>
      <c r="B22" s="25"/>
      <c r="C22" s="25"/>
      <c r="D22" s="25"/>
      <c r="E22" s="25"/>
      <c r="F22" s="41"/>
    </row>
    <row r="23" spans="1:6" s="5" customFormat="1" ht="15.75">
      <c r="A23" s="37" t="s">
        <v>21</v>
      </c>
      <c r="B23" s="25"/>
      <c r="C23" s="25"/>
      <c r="D23" s="25"/>
      <c r="E23" s="25"/>
      <c r="F23" s="41"/>
    </row>
    <row r="24" spans="1:7" s="5" customFormat="1" ht="18" customHeight="1">
      <c r="A24" s="24" t="s">
        <v>32</v>
      </c>
      <c r="B24" s="75">
        <f>B8+B16</f>
        <v>0.633</v>
      </c>
      <c r="C24" s="75">
        <f>C8+C16</f>
        <v>0.18</v>
      </c>
      <c r="D24" s="75">
        <f>D8+D16</f>
        <v>1</v>
      </c>
      <c r="E24" s="75">
        <f>E8+E16</f>
        <v>1.813</v>
      </c>
      <c r="F24" s="43"/>
      <c r="G24" s="44"/>
    </row>
    <row r="25" spans="1:9" s="5" customFormat="1" ht="17.25" customHeight="1">
      <c r="A25" s="24" t="s">
        <v>22</v>
      </c>
      <c r="B25" s="25">
        <f>B13+B21</f>
        <v>2480.1935168668647</v>
      </c>
      <c r="C25" s="25">
        <f>C13+C21</f>
        <v>739.7965736161117</v>
      </c>
      <c r="D25" s="25">
        <f>D13+D21</f>
        <v>1511.1765571282463</v>
      </c>
      <c r="E25" s="34">
        <f>E13+E21</f>
        <v>4731.166647611222</v>
      </c>
      <c r="F25" s="33"/>
      <c r="G25" s="44"/>
      <c r="I25" s="44"/>
    </row>
    <row r="26" spans="1:8" s="52" customFormat="1" ht="15.75">
      <c r="A26" s="47"/>
      <c r="B26" s="48"/>
      <c r="C26" s="48"/>
      <c r="D26" s="48"/>
      <c r="E26" s="48"/>
      <c r="F26" s="50"/>
      <c r="G26" s="51"/>
      <c r="H26" s="51"/>
    </row>
    <row r="28" spans="5:8" ht="12.75" hidden="1">
      <c r="E28" s="73"/>
      <c r="H28" s="69"/>
    </row>
    <row r="29" ht="12.75">
      <c r="E29" s="69"/>
    </row>
  </sheetData>
  <sheetProtection formatColumns="0" formatRows="0" autoFilter="0"/>
  <mergeCells count="6">
    <mergeCell ref="C1:E1"/>
    <mergeCell ref="A3:E3"/>
    <mergeCell ref="A5:A6"/>
    <mergeCell ref="B5:C5"/>
    <mergeCell ref="D5:D6"/>
    <mergeCell ref="E5:E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85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3.375" style="76" customWidth="1"/>
    <col min="2" max="2" width="35.00390625" style="77" customWidth="1"/>
    <col min="3" max="3" width="14.00390625" style="78" customWidth="1"/>
    <col min="4" max="4" width="15.25390625" style="78" customWidth="1"/>
    <col min="5" max="5" width="10.75390625" style="78" customWidth="1"/>
    <col min="6" max="6" width="14.00390625" style="78" customWidth="1"/>
    <col min="7" max="7" width="15.875" style="78" customWidth="1"/>
    <col min="8" max="8" width="10.25390625" style="78" customWidth="1"/>
    <col min="9" max="9" width="17.875" style="77" customWidth="1"/>
    <col min="10" max="10" width="15.125" style="77" customWidth="1"/>
    <col min="11" max="12" width="14.75390625" style="77" customWidth="1"/>
    <col min="13" max="13" width="13.75390625" style="77" customWidth="1"/>
    <col min="14" max="14" width="14.875" style="77" customWidth="1"/>
    <col min="15" max="15" width="10.375" style="77" bestFit="1" customWidth="1"/>
    <col min="16" max="16" width="12.75390625" style="77" bestFit="1" customWidth="1"/>
    <col min="17" max="17" width="11.75390625" style="77" bestFit="1" customWidth="1"/>
    <col min="18" max="18" width="14.375" style="77" bestFit="1" customWidth="1"/>
    <col min="19" max="19" width="9.125" style="77" customWidth="1"/>
    <col min="20" max="20" width="14.125" style="77" bestFit="1" customWidth="1"/>
    <col min="21" max="23" width="10.00390625" style="77" bestFit="1" customWidth="1"/>
    <col min="24" max="16384" width="9.125" style="77" customWidth="1"/>
  </cols>
  <sheetData>
    <row r="1" spans="9:14" ht="37.5" customHeight="1">
      <c r="I1" s="153" t="s">
        <v>82</v>
      </c>
      <c r="J1" s="153"/>
      <c r="K1" s="153"/>
      <c r="L1" s="153"/>
      <c r="M1" s="153"/>
      <c r="N1" s="153"/>
    </row>
    <row r="2" spans="9:11" ht="21" customHeight="1">
      <c r="I2" s="79"/>
      <c r="J2" s="79"/>
      <c r="K2" s="79"/>
    </row>
    <row r="3" spans="1:14" ht="38.25" customHeight="1">
      <c r="A3" s="157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ht="5.25" customHeight="1"/>
    <row r="5" spans="1:14" s="82" customFormat="1" ht="26.25" customHeight="1">
      <c r="A5" s="154" t="s">
        <v>39</v>
      </c>
      <c r="B5" s="154" t="s">
        <v>40</v>
      </c>
      <c r="C5" s="162" t="s">
        <v>41</v>
      </c>
      <c r="D5" s="162"/>
      <c r="E5" s="162"/>
      <c r="F5" s="163" t="s">
        <v>42</v>
      </c>
      <c r="G5" s="163"/>
      <c r="H5" s="163"/>
      <c r="I5" s="154" t="s">
        <v>43</v>
      </c>
      <c r="J5" s="154" t="s">
        <v>64</v>
      </c>
      <c r="K5" s="154"/>
      <c r="L5" s="154" t="s">
        <v>44</v>
      </c>
      <c r="M5" s="154"/>
      <c r="N5" s="155"/>
    </row>
    <row r="6" spans="1:16" s="82" customFormat="1" ht="2.25" customHeight="1">
      <c r="A6" s="154"/>
      <c r="B6" s="155"/>
      <c r="C6" s="160"/>
      <c r="D6" s="160"/>
      <c r="E6" s="160"/>
      <c r="F6" s="164"/>
      <c r="G6" s="164"/>
      <c r="H6" s="164"/>
      <c r="I6" s="155"/>
      <c r="J6" s="155"/>
      <c r="K6" s="155"/>
      <c r="L6" s="155"/>
      <c r="M6" s="155"/>
      <c r="N6" s="155"/>
      <c r="O6" s="161"/>
      <c r="P6" s="161"/>
    </row>
    <row r="7" spans="1:16" s="82" customFormat="1" ht="14.25" customHeight="1">
      <c r="A7" s="154"/>
      <c r="B7" s="155"/>
      <c r="C7" s="160" t="s">
        <v>45</v>
      </c>
      <c r="D7" s="160" t="s">
        <v>46</v>
      </c>
      <c r="E7" s="160" t="s">
        <v>47</v>
      </c>
      <c r="F7" s="162" t="s">
        <v>45</v>
      </c>
      <c r="G7" s="160" t="s">
        <v>46</v>
      </c>
      <c r="H7" s="160" t="s">
        <v>47</v>
      </c>
      <c r="I7" s="155"/>
      <c r="J7" s="155" t="s">
        <v>41</v>
      </c>
      <c r="K7" s="155" t="s">
        <v>42</v>
      </c>
      <c r="L7" s="155" t="s">
        <v>21</v>
      </c>
      <c r="M7" s="155" t="s">
        <v>41</v>
      </c>
      <c r="N7" s="155" t="s">
        <v>42</v>
      </c>
      <c r="O7" s="156"/>
      <c r="P7" s="156"/>
    </row>
    <row r="8" spans="1:27" s="82" customFormat="1" ht="60" customHeight="1">
      <c r="A8" s="154"/>
      <c r="B8" s="155"/>
      <c r="C8" s="160"/>
      <c r="D8" s="160"/>
      <c r="E8" s="160"/>
      <c r="F8" s="162"/>
      <c r="G8" s="160"/>
      <c r="H8" s="160"/>
      <c r="I8" s="155"/>
      <c r="J8" s="155"/>
      <c r="K8" s="155"/>
      <c r="L8" s="155"/>
      <c r="M8" s="155"/>
      <c r="N8" s="155"/>
      <c r="O8" s="156"/>
      <c r="P8" s="156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s="82" customFormat="1" ht="12.75" customHeight="1">
      <c r="A9" s="80">
        <v>1</v>
      </c>
      <c r="B9" s="81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" ht="40.5" customHeight="1">
      <c r="A10" s="85" t="s">
        <v>48</v>
      </c>
      <c r="B10" s="86" t="s">
        <v>49</v>
      </c>
      <c r="C10" s="87">
        <f>519070.5/1000*0.89</f>
        <v>461.97274500000003</v>
      </c>
      <c r="D10" s="87">
        <v>381.816156719019</v>
      </c>
      <c r="E10" s="88">
        <f>E12+E13+E14</f>
        <v>92.26310000000001</v>
      </c>
      <c r="F10" s="87">
        <f>C10</f>
        <v>461.97274500000003</v>
      </c>
      <c r="G10" s="87">
        <v>331.79646194769333</v>
      </c>
      <c r="H10" s="88">
        <f>H12+H13+H14</f>
        <v>83.87180000000001</v>
      </c>
      <c r="I10" s="89">
        <v>1980294.66</v>
      </c>
      <c r="J10" s="89">
        <f>(J12*E12+J13*E13+J14*E14)/E10</f>
        <v>2664.9587378675255</v>
      </c>
      <c r="K10" s="89">
        <f>(K12*H12+K13*H13+K14*H14)/H10</f>
        <v>2847.32317003539</v>
      </c>
      <c r="L10" s="89">
        <f>L12+L13+L14</f>
        <v>484687.47398031957</v>
      </c>
      <c r="M10" s="90">
        <f>M12+M13+M14</f>
        <v>245877.35452774534</v>
      </c>
      <c r="N10" s="90">
        <f>N12+N13+N14</f>
        <v>238810.11945257423</v>
      </c>
      <c r="O10" s="91"/>
      <c r="P10" s="91"/>
      <c r="Q10" s="92"/>
      <c r="R10" s="93"/>
      <c r="S10" s="94"/>
      <c r="T10" s="94"/>
      <c r="U10" s="94"/>
      <c r="V10" s="94"/>
      <c r="W10" s="94"/>
      <c r="X10" s="94"/>
      <c r="Y10" s="93"/>
      <c r="Z10" s="95"/>
      <c r="AA10" s="92"/>
    </row>
    <row r="11" spans="1:27" ht="15" customHeight="1">
      <c r="A11" s="85"/>
      <c r="B11" s="96" t="s">
        <v>24</v>
      </c>
      <c r="C11" s="97"/>
      <c r="D11" s="87"/>
      <c r="E11" s="88"/>
      <c r="F11" s="87"/>
      <c r="G11" s="88"/>
      <c r="H11" s="88"/>
      <c r="I11" s="98"/>
      <c r="J11" s="99"/>
      <c r="K11" s="99"/>
      <c r="L11" s="100"/>
      <c r="M11" s="99"/>
      <c r="N11" s="99"/>
      <c r="O11" s="91"/>
      <c r="P11" s="91"/>
      <c r="Q11" s="92"/>
      <c r="R11" s="93"/>
      <c r="S11" s="94"/>
      <c r="T11" s="94"/>
      <c r="U11" s="94"/>
      <c r="V11" s="94"/>
      <c r="W11" s="94"/>
      <c r="X11" s="94"/>
      <c r="Y11" s="93"/>
      <c r="Z11" s="95"/>
      <c r="AA11" s="92"/>
    </row>
    <row r="12" spans="1:27" ht="15" customHeight="1">
      <c r="A12" s="85"/>
      <c r="B12" s="96" t="s">
        <v>30</v>
      </c>
      <c r="C12" s="97"/>
      <c r="D12" s="87"/>
      <c r="E12" s="87">
        <v>77.110606</v>
      </c>
      <c r="F12" s="87"/>
      <c r="G12" s="88"/>
      <c r="H12" s="87">
        <v>69.49709316284681</v>
      </c>
      <c r="I12" s="97"/>
      <c r="J12" s="99">
        <f>'[1]Расчет тарифа на потери'!C7</f>
        <v>2252.808233995651</v>
      </c>
      <c r="K12" s="99">
        <f>'[1]Расчет тарифа на потери'!D7</f>
        <v>2390.419320839227</v>
      </c>
      <c r="L12" s="100">
        <f>M12+N12</f>
        <v>339842.60236382723</v>
      </c>
      <c r="M12" s="99">
        <f>J12*E12</f>
        <v>173715.40812519446</v>
      </c>
      <c r="N12" s="99">
        <f>K12*H12</f>
        <v>166127.19423863277</v>
      </c>
      <c r="O12" s="91"/>
      <c r="P12" s="91"/>
      <c r="Q12" s="92"/>
      <c r="R12" s="93"/>
      <c r="S12" s="94"/>
      <c r="T12" s="94"/>
      <c r="U12" s="94"/>
      <c r="V12" s="94"/>
      <c r="W12" s="94"/>
      <c r="X12" s="94"/>
      <c r="Y12" s="93"/>
      <c r="Z12" s="95"/>
      <c r="AA12" s="92"/>
    </row>
    <row r="13" spans="1:27" ht="17.25" customHeight="1">
      <c r="A13" s="85"/>
      <c r="B13" s="96" t="s">
        <v>50</v>
      </c>
      <c r="C13" s="97"/>
      <c r="D13" s="87"/>
      <c r="E13" s="87">
        <v>0.622494</v>
      </c>
      <c r="F13" s="87"/>
      <c r="G13" s="88"/>
      <c r="H13" s="87">
        <v>1.084706837153197</v>
      </c>
      <c r="I13" s="98"/>
      <c r="J13" s="99">
        <f>'[1]Расчет тарифа на потери'!C25</f>
        <v>1759.228233995651</v>
      </c>
      <c r="K13" s="99">
        <f>'[1]Расчет тарифа на потери'!D25</f>
        <v>1804.3283208392272</v>
      </c>
      <c r="L13" s="100">
        <f>M13+N13</f>
        <v>3052.2762863763455</v>
      </c>
      <c r="M13" s="99">
        <f>J13*E13</f>
        <v>1095.1090202928888</v>
      </c>
      <c r="N13" s="99">
        <f>K13*H13</f>
        <v>1957.167266083457</v>
      </c>
      <c r="O13" s="92"/>
      <c r="P13" s="92"/>
      <c r="Q13" s="92"/>
      <c r="R13" s="93"/>
      <c r="S13" s="94"/>
      <c r="T13" s="94"/>
      <c r="U13" s="94"/>
      <c r="V13" s="94"/>
      <c r="W13" s="94"/>
      <c r="X13" s="94"/>
      <c r="Y13" s="93"/>
      <c r="Z13" s="95"/>
      <c r="AA13" s="92"/>
    </row>
    <row r="14" spans="1:27" ht="17.25" customHeight="1">
      <c r="A14" s="85"/>
      <c r="B14" s="96" t="s">
        <v>51</v>
      </c>
      <c r="C14" s="97"/>
      <c r="D14" s="87"/>
      <c r="E14" s="87">
        <v>14.53</v>
      </c>
      <c r="F14" s="87"/>
      <c r="G14" s="88"/>
      <c r="H14" s="87">
        <v>13.29</v>
      </c>
      <c r="I14" s="98"/>
      <c r="J14" s="101">
        <f>'[1]Расчет тарифа на потери'!C31</f>
        <v>4891.041801944804</v>
      </c>
      <c r="K14" s="101">
        <f>'[1]Расчет тарифа на потери'!D31</f>
        <v>5321.727460335441</v>
      </c>
      <c r="L14" s="100">
        <f>M14+N14</f>
        <v>141792.595330116</v>
      </c>
      <c r="M14" s="99">
        <f>J14*E14</f>
        <v>71066.837382258</v>
      </c>
      <c r="N14" s="99">
        <f>K14*H14</f>
        <v>70725.757947858</v>
      </c>
      <c r="O14" s="92"/>
      <c r="P14" s="92"/>
      <c r="Q14" s="92"/>
      <c r="R14" s="93"/>
      <c r="S14" s="94"/>
      <c r="T14" s="94"/>
      <c r="U14" s="94"/>
      <c r="V14" s="94"/>
      <c r="W14" s="94"/>
      <c r="X14" s="94"/>
      <c r="Y14" s="93"/>
      <c r="Z14" s="95"/>
      <c r="AA14" s="92"/>
    </row>
    <row r="15" spans="1:27" ht="50.25" customHeight="1">
      <c r="A15" s="85" t="s">
        <v>52</v>
      </c>
      <c r="B15" s="102" t="s">
        <v>53</v>
      </c>
      <c r="C15" s="87">
        <f>596740/1000*0.89</f>
        <v>531.0986</v>
      </c>
      <c r="D15" s="87">
        <v>346.0069275554944</v>
      </c>
      <c r="E15" s="88">
        <f>E17+E18</f>
        <v>57.1507</v>
      </c>
      <c r="F15" s="87">
        <f>C15</f>
        <v>531.0986</v>
      </c>
      <c r="G15" s="87">
        <v>324.60815202999476</v>
      </c>
      <c r="H15" s="88">
        <f>H17+H18</f>
        <v>54.049800000000005</v>
      </c>
      <c r="I15" s="89">
        <v>228988.8</v>
      </c>
      <c r="J15" s="89">
        <f>(J17*E17+J18*E18)/E15</f>
        <v>1761.0078682408896</v>
      </c>
      <c r="K15" s="89">
        <f>(K17*H17+K18*H18)/H15</f>
        <v>1807.9828276362555</v>
      </c>
      <c r="L15" s="89">
        <f>L17+L18</f>
        <v>198363.94261264868</v>
      </c>
      <c r="M15" s="90">
        <f>M17+M18</f>
        <v>100642.83237547461</v>
      </c>
      <c r="N15" s="90">
        <f>N17+N18</f>
        <v>97721.11023717409</v>
      </c>
      <c r="O15" s="91"/>
      <c r="P15" s="91"/>
      <c r="Q15" s="92"/>
      <c r="R15" s="93"/>
      <c r="S15" s="94"/>
      <c r="T15" s="94"/>
      <c r="U15" s="94"/>
      <c r="V15" s="94"/>
      <c r="W15" s="94"/>
      <c r="X15" s="94"/>
      <c r="Y15" s="93"/>
      <c r="Z15" s="95"/>
      <c r="AA15" s="92"/>
    </row>
    <row r="16" spans="1:27" ht="13.5" customHeight="1">
      <c r="A16" s="85"/>
      <c r="B16" s="96" t="s">
        <v>24</v>
      </c>
      <c r="C16" s="87"/>
      <c r="D16" s="87"/>
      <c r="E16" s="88"/>
      <c r="F16" s="87"/>
      <c r="G16" s="88"/>
      <c r="H16" s="88"/>
      <c r="I16" s="98"/>
      <c r="J16" s="99"/>
      <c r="K16" s="99"/>
      <c r="L16" s="100"/>
      <c r="M16" s="99"/>
      <c r="N16" s="99"/>
      <c r="O16" s="91"/>
      <c r="P16" s="91"/>
      <c r="Q16" s="92"/>
      <c r="R16" s="93"/>
      <c r="S16" s="94"/>
      <c r="T16" s="94"/>
      <c r="U16" s="94"/>
      <c r="V16" s="94"/>
      <c r="W16" s="94"/>
      <c r="X16" s="94"/>
      <c r="Y16" s="93"/>
      <c r="Z16" s="95"/>
      <c r="AA16" s="92"/>
    </row>
    <row r="17" spans="1:27" ht="15" customHeight="1">
      <c r="A17" s="85"/>
      <c r="B17" s="96" t="s">
        <v>30</v>
      </c>
      <c r="C17" s="87"/>
      <c r="D17" s="87"/>
      <c r="E17" s="87">
        <v>0.20606050257174136</v>
      </c>
      <c r="F17" s="87"/>
      <c r="G17" s="88"/>
      <c r="H17" s="87">
        <v>0.337021659568237</v>
      </c>
      <c r="I17" s="98"/>
      <c r="J17" s="99">
        <f>J12</f>
        <v>2252.808233995651</v>
      </c>
      <c r="K17" s="99">
        <f>K12</f>
        <v>2390.419320839227</v>
      </c>
      <c r="L17" s="100">
        <f>M17+N17</f>
        <v>1269.8378834681153</v>
      </c>
      <c r="M17" s="99">
        <f>J17*E17</f>
        <v>464.2147968949009</v>
      </c>
      <c r="N17" s="99">
        <f>K17*H17</f>
        <v>805.6230865732142</v>
      </c>
      <c r="O17" s="103"/>
      <c r="P17" s="91"/>
      <c r="Q17" s="104"/>
      <c r="R17" s="93"/>
      <c r="S17" s="94"/>
      <c r="T17" s="94"/>
      <c r="U17" s="94"/>
      <c r="V17" s="94"/>
      <c r="W17" s="94"/>
      <c r="X17" s="94"/>
      <c r="Y17" s="93"/>
      <c r="Z17" s="95"/>
      <c r="AA17" s="92"/>
    </row>
    <row r="18" spans="1:27" ht="13.5" customHeight="1">
      <c r="A18" s="85"/>
      <c r="B18" s="96" t="s">
        <v>50</v>
      </c>
      <c r="C18" s="87"/>
      <c r="D18" s="87"/>
      <c r="E18" s="87">
        <v>56.94463949742826</v>
      </c>
      <c r="F18" s="87"/>
      <c r="G18" s="88"/>
      <c r="H18" s="87">
        <v>53.71277834043177</v>
      </c>
      <c r="I18" s="98"/>
      <c r="J18" s="99">
        <f>J13</f>
        <v>1759.228233995651</v>
      </c>
      <c r="K18" s="99">
        <f>K13</f>
        <v>1804.3283208392272</v>
      </c>
      <c r="L18" s="100">
        <f>M18+N18</f>
        <v>197094.10472918057</v>
      </c>
      <c r="M18" s="99">
        <f>J18*E18</f>
        <v>100178.61757857971</v>
      </c>
      <c r="N18" s="99">
        <f>K18*H18</f>
        <v>96915.48715060086</v>
      </c>
      <c r="O18" s="92"/>
      <c r="P18" s="92"/>
      <c r="Q18" s="92"/>
      <c r="R18" s="93"/>
      <c r="S18" s="94"/>
      <c r="T18" s="94"/>
      <c r="U18" s="94"/>
      <c r="V18" s="94"/>
      <c r="W18" s="94"/>
      <c r="X18" s="94"/>
      <c r="Y18" s="93"/>
      <c r="Z18" s="95"/>
      <c r="AA18" s="92"/>
    </row>
    <row r="19" spans="1:16" ht="62.25" customHeight="1">
      <c r="A19" s="85" t="s">
        <v>54</v>
      </c>
      <c r="B19" s="86" t="s">
        <v>55</v>
      </c>
      <c r="C19" s="87">
        <f>949829.34/1000*0.89</f>
        <v>845.3481126</v>
      </c>
      <c r="D19" s="87">
        <v>469.62735008547287</v>
      </c>
      <c r="E19" s="88">
        <f>E21+E22</f>
        <v>6.5649999999999995</v>
      </c>
      <c r="F19" s="87">
        <f>C19</f>
        <v>845.3481126</v>
      </c>
      <c r="G19" s="87">
        <v>504.0083420344596</v>
      </c>
      <c r="H19" s="88">
        <f>H21+H22</f>
        <v>5.9437999999999995</v>
      </c>
      <c r="I19" s="89">
        <v>346224.75</v>
      </c>
      <c r="J19" s="89">
        <f>(J21*E21+J22*E22)/E19</f>
        <v>1814.6942572609642</v>
      </c>
      <c r="K19" s="89">
        <f>(K21*H21+K22*H22)/H19</f>
        <v>2057.9379588350457</v>
      </c>
      <c r="L19" s="89">
        <f>L21+L22</f>
        <v>24145.439438641974</v>
      </c>
      <c r="M19" s="90">
        <f>M21+M22</f>
        <v>11913.46779891823</v>
      </c>
      <c r="N19" s="90">
        <f>N21+N22</f>
        <v>12231.971639723743</v>
      </c>
      <c r="O19" s="91"/>
      <c r="P19" s="91"/>
    </row>
    <row r="20" spans="1:16" ht="13.5">
      <c r="A20" s="85"/>
      <c r="B20" s="96" t="s">
        <v>24</v>
      </c>
      <c r="C20" s="97"/>
      <c r="D20" s="87"/>
      <c r="E20" s="88"/>
      <c r="F20" s="87"/>
      <c r="G20" s="88"/>
      <c r="H20" s="88"/>
      <c r="I20" s="98"/>
      <c r="J20" s="98"/>
      <c r="K20" s="98"/>
      <c r="L20" s="105"/>
      <c r="M20" s="105"/>
      <c r="N20" s="105"/>
      <c r="O20" s="91"/>
      <c r="P20" s="91"/>
    </row>
    <row r="21" spans="1:16" ht="13.5">
      <c r="A21" s="85"/>
      <c r="B21" s="96" t="s">
        <v>30</v>
      </c>
      <c r="C21" s="97"/>
      <c r="D21" s="87"/>
      <c r="E21" s="87">
        <v>0.7377414861558027</v>
      </c>
      <c r="F21" s="87"/>
      <c r="G21" s="88"/>
      <c r="H21" s="87">
        <v>0.6906102121516596</v>
      </c>
      <c r="I21" s="98"/>
      <c r="J21" s="99">
        <f>J12</f>
        <v>2252.808233995651</v>
      </c>
      <c r="K21" s="99">
        <f>K12</f>
        <v>2390.419320839227</v>
      </c>
      <c r="L21" s="100">
        <f>M21+N21</f>
        <v>3312.8380888681854</v>
      </c>
      <c r="M21" s="99">
        <f>J21*E21</f>
        <v>1661.9900945719808</v>
      </c>
      <c r="N21" s="99">
        <f>K21*H21</f>
        <v>1650.8479942962047</v>
      </c>
      <c r="O21" s="91"/>
      <c r="P21" s="91"/>
    </row>
    <row r="22" spans="1:16" ht="14.25" customHeight="1">
      <c r="A22" s="85"/>
      <c r="B22" s="96" t="s">
        <v>56</v>
      </c>
      <c r="C22" s="97"/>
      <c r="D22" s="87"/>
      <c r="E22" s="87">
        <v>5.827258513844197</v>
      </c>
      <c r="F22" s="87"/>
      <c r="G22" s="88"/>
      <c r="H22" s="87">
        <v>5.25318978784834</v>
      </c>
      <c r="I22" s="98"/>
      <c r="J22" s="99">
        <f>'[1]Расчет тарифа на потери'!C19</f>
        <v>1759.228233995651</v>
      </c>
      <c r="K22" s="99">
        <f>'[1]Расчет тарифа на потери'!D19</f>
        <v>2014.2283208392273</v>
      </c>
      <c r="L22" s="100">
        <f>M22+N22</f>
        <v>20832.601349773788</v>
      </c>
      <c r="M22" s="99">
        <f>J22*E22</f>
        <v>10251.477704346249</v>
      </c>
      <c r="N22" s="99">
        <f>K22*H22</f>
        <v>10581.123645427539</v>
      </c>
      <c r="O22" s="91"/>
      <c r="P22" s="91"/>
    </row>
    <row r="23" spans="1:16" ht="42.75" customHeight="1">
      <c r="A23" s="85" t="s">
        <v>57</v>
      </c>
      <c r="B23" s="102" t="s">
        <v>58</v>
      </c>
      <c r="C23" s="87">
        <f>400000/1000*0.89</f>
        <v>356</v>
      </c>
      <c r="D23" s="87">
        <v>10.985063352405591</v>
      </c>
      <c r="E23" s="88">
        <f>E25</f>
        <v>2.612</v>
      </c>
      <c r="F23" s="87">
        <f>C23</f>
        <v>356</v>
      </c>
      <c r="G23" s="87">
        <v>10.608878272378153</v>
      </c>
      <c r="H23" s="88">
        <f>H25</f>
        <v>2.5336999999999996</v>
      </c>
      <c r="I23" s="89">
        <v>57619.4</v>
      </c>
      <c r="J23" s="89">
        <f>J25</f>
        <v>1749.228233995651</v>
      </c>
      <c r="K23" s="89">
        <f>K25</f>
        <v>1794.3283208392272</v>
      </c>
      <c r="L23" s="89">
        <f>M23+N23</f>
        <v>9115.27381370699</v>
      </c>
      <c r="M23" s="90">
        <f>M25</f>
        <v>4568.98414719664</v>
      </c>
      <c r="N23" s="90">
        <f>N25</f>
        <v>4546.289666510349</v>
      </c>
      <c r="O23" s="91"/>
      <c r="P23" s="91"/>
    </row>
    <row r="24" spans="1:16" ht="14.25" customHeight="1">
      <c r="A24" s="85"/>
      <c r="B24" s="106" t="s">
        <v>24</v>
      </c>
      <c r="C24" s="87"/>
      <c r="D24" s="87"/>
      <c r="E24" s="88"/>
      <c r="F24" s="87"/>
      <c r="G24" s="88"/>
      <c r="H24" s="88"/>
      <c r="I24" s="98"/>
      <c r="J24" s="99"/>
      <c r="K24" s="99"/>
      <c r="L24" s="100"/>
      <c r="M24" s="100"/>
      <c r="N24" s="99"/>
      <c r="O24" s="91"/>
      <c r="P24" s="91"/>
    </row>
    <row r="25" spans="1:16" ht="14.25" customHeight="1">
      <c r="A25" s="85"/>
      <c r="B25" s="106" t="s">
        <v>59</v>
      </c>
      <c r="C25" s="87"/>
      <c r="D25" s="87"/>
      <c r="E25" s="87">
        <v>2.612</v>
      </c>
      <c r="F25" s="87"/>
      <c r="G25" s="88"/>
      <c r="H25" s="87">
        <v>2.5336999999999996</v>
      </c>
      <c r="I25" s="98"/>
      <c r="J25" s="99">
        <f>'[1]Расчет тарифа на потери'!C37</f>
        <v>1749.228233995651</v>
      </c>
      <c r="K25" s="99">
        <f>'[1]Расчет тарифа на потери'!D37</f>
        <v>1794.3283208392272</v>
      </c>
      <c r="L25" s="100">
        <f>M25+N25</f>
        <v>9115.27381370699</v>
      </c>
      <c r="M25" s="100">
        <f>J25*E25</f>
        <v>4568.98414719664</v>
      </c>
      <c r="N25" s="99">
        <f>K25*H25</f>
        <v>4546.289666510349</v>
      </c>
      <c r="O25" s="91"/>
      <c r="P25" s="91"/>
    </row>
    <row r="26" spans="1:14" s="107" customFormat="1" ht="38.25">
      <c r="A26" s="85" t="s">
        <v>60</v>
      </c>
      <c r="B26" s="102" t="s">
        <v>61</v>
      </c>
      <c r="C26" s="87">
        <f>20948/1000*0.89</f>
        <v>18.643720000000002</v>
      </c>
      <c r="D26" s="87">
        <v>3.840122013170272</v>
      </c>
      <c r="E26" s="87">
        <v>1.2815999999999999</v>
      </c>
      <c r="F26" s="87">
        <f>C26</f>
        <v>18.643720000000002</v>
      </c>
      <c r="G26" s="87">
        <v>3.840122013170272</v>
      </c>
      <c r="H26" s="87">
        <v>1.2815999999999999</v>
      </c>
      <c r="I26" s="89">
        <f>30772.03-'[1]прил 3'!E25</f>
        <v>26040.863352388777</v>
      </c>
      <c r="J26" s="89">
        <f>J28</f>
        <v>2252.808233995651</v>
      </c>
      <c r="K26" s="89">
        <f>K28</f>
        <v>2390.419320839227</v>
      </c>
      <c r="L26" s="89">
        <f>M26+N26</f>
        <v>5950.760434276379</v>
      </c>
      <c r="M26" s="90">
        <f>M28</f>
        <v>2887.199032688826</v>
      </c>
      <c r="N26" s="90">
        <f>N28</f>
        <v>3063.561401587553</v>
      </c>
    </row>
    <row r="27" spans="1:14" s="107" customFormat="1" ht="13.5">
      <c r="A27" s="85"/>
      <c r="B27" s="96" t="s">
        <v>24</v>
      </c>
      <c r="C27" s="87"/>
      <c r="D27" s="87"/>
      <c r="E27" s="87"/>
      <c r="F27" s="87"/>
      <c r="G27" s="87"/>
      <c r="H27" s="87"/>
      <c r="I27" s="89"/>
      <c r="J27" s="89"/>
      <c r="K27" s="89"/>
      <c r="L27" s="89"/>
      <c r="M27" s="90"/>
      <c r="N27" s="90"/>
    </row>
    <row r="28" spans="1:14" s="107" customFormat="1" ht="13.5">
      <c r="A28" s="85"/>
      <c r="B28" s="96" t="s">
        <v>30</v>
      </c>
      <c r="C28" s="87"/>
      <c r="D28" s="87"/>
      <c r="E28" s="87">
        <f>E26</f>
        <v>1.2815999999999999</v>
      </c>
      <c r="F28" s="87"/>
      <c r="G28" s="87"/>
      <c r="H28" s="87">
        <f>H26</f>
        <v>1.2815999999999999</v>
      </c>
      <c r="I28" s="89"/>
      <c r="J28" s="90">
        <f>J12</f>
        <v>2252.808233995651</v>
      </c>
      <c r="K28" s="90">
        <f>K12</f>
        <v>2390.419320839227</v>
      </c>
      <c r="L28" s="90">
        <f>M28+N28</f>
        <v>5950.760434276379</v>
      </c>
      <c r="M28" s="90">
        <f>J28*E28</f>
        <v>2887.199032688826</v>
      </c>
      <c r="N28" s="90">
        <f>K28*H28</f>
        <v>3063.561401587553</v>
      </c>
    </row>
    <row r="29" spans="1:16" ht="25.5">
      <c r="A29" s="85" t="s">
        <v>62</v>
      </c>
      <c r="B29" s="86" t="s">
        <v>63</v>
      </c>
      <c r="C29" s="87">
        <f>24250/1000*0.89</f>
        <v>21.5825</v>
      </c>
      <c r="D29" s="87">
        <v>12.286137878387791</v>
      </c>
      <c r="E29" s="88">
        <f>E31+E32</f>
        <v>0.9318</v>
      </c>
      <c r="F29" s="87">
        <f>C29</f>
        <v>21.5825</v>
      </c>
      <c r="G29" s="87">
        <v>12.336765432705006</v>
      </c>
      <c r="H29" s="88">
        <f>H31+H32</f>
        <v>0.933</v>
      </c>
      <c r="I29" s="89">
        <v>10507.46</v>
      </c>
      <c r="J29" s="89">
        <f>(J31*E31+J32*E32)/E29</f>
        <v>1894.5257082020514</v>
      </c>
      <c r="K29" s="89">
        <f>(K31*H31+K32*H32)/H29</f>
        <v>1945.1738288130905</v>
      </c>
      <c r="L29" s="89">
        <f>M29+N29</f>
        <v>3580.1662371852854</v>
      </c>
      <c r="M29" s="90">
        <f>M31+M32</f>
        <v>1765.3190549026715</v>
      </c>
      <c r="N29" s="90">
        <f>N31+N32</f>
        <v>1814.8471822826136</v>
      </c>
      <c r="O29" s="91"/>
      <c r="P29" s="91"/>
    </row>
    <row r="30" spans="1:16" ht="13.5">
      <c r="A30" s="85"/>
      <c r="B30" s="96" t="s">
        <v>24</v>
      </c>
      <c r="C30" s="97"/>
      <c r="D30" s="87"/>
      <c r="E30" s="88"/>
      <c r="F30" s="87"/>
      <c r="G30" s="88"/>
      <c r="H30" s="88"/>
      <c r="I30" s="98"/>
      <c r="J30" s="99"/>
      <c r="K30" s="99"/>
      <c r="L30" s="100"/>
      <c r="M30" s="100"/>
      <c r="N30" s="100"/>
      <c r="O30" s="91"/>
      <c r="P30" s="91"/>
    </row>
    <row r="31" spans="1:16" ht="13.5">
      <c r="A31" s="85"/>
      <c r="B31" s="96" t="s">
        <v>30</v>
      </c>
      <c r="C31" s="97"/>
      <c r="D31" s="87"/>
      <c r="E31" s="87">
        <v>0.25541996528531147</v>
      </c>
      <c r="F31" s="87"/>
      <c r="G31" s="88"/>
      <c r="H31" s="87">
        <v>0.224212381591962</v>
      </c>
      <c r="I31" s="98"/>
      <c r="J31" s="99">
        <f>J12</f>
        <v>2252.808233995651</v>
      </c>
      <c r="K31" s="99">
        <f>K12</f>
        <v>2390.419320839227</v>
      </c>
      <c r="L31" s="100">
        <f>M31+N31</f>
        <v>1111.3738098504364</v>
      </c>
      <c r="M31" s="100">
        <f>J31*E31</f>
        <v>575.412200921633</v>
      </c>
      <c r="N31" s="100">
        <f>K31*H31</f>
        <v>535.9616089288035</v>
      </c>
      <c r="O31" s="103"/>
      <c r="P31" s="103"/>
    </row>
    <row r="32" spans="1:14" ht="13.5">
      <c r="A32" s="85"/>
      <c r="B32" s="96" t="s">
        <v>50</v>
      </c>
      <c r="C32" s="97"/>
      <c r="D32" s="87"/>
      <c r="E32" s="87">
        <v>0.6763800347146884</v>
      </c>
      <c r="F32" s="87"/>
      <c r="G32" s="87"/>
      <c r="H32" s="87">
        <v>0.7087876184080381</v>
      </c>
      <c r="I32" s="105"/>
      <c r="J32" s="99">
        <f>J13</f>
        <v>1759.228233995651</v>
      </c>
      <c r="K32" s="99">
        <f>K13</f>
        <v>1804.3283208392272</v>
      </c>
      <c r="L32" s="100">
        <f>M32+N32</f>
        <v>2468.792427334849</v>
      </c>
      <c r="M32" s="100">
        <f>J32*E32</f>
        <v>1189.9068539810385</v>
      </c>
      <c r="N32" s="100">
        <f>K32*H32</f>
        <v>1278.8855733538103</v>
      </c>
    </row>
    <row r="33" spans="3:16" ht="12.75">
      <c r="C33" s="108"/>
      <c r="D33" s="109">
        <f>D10+D15+D19+D23+D26+D29</f>
        <v>1224.56175760395</v>
      </c>
      <c r="E33" s="109">
        <f>E10+E15+E19+E23+E26+E29</f>
        <v>160.8042</v>
      </c>
      <c r="F33" s="108"/>
      <c r="G33" s="109">
        <f>G10+G15+G19+G23+G26+G29</f>
        <v>1187.1987217304013</v>
      </c>
      <c r="H33" s="109">
        <f>H10+H15+H19+H23+H26+H29</f>
        <v>148.61370000000002</v>
      </c>
      <c r="I33" s="110"/>
      <c r="L33" s="111">
        <f>L10+L15+L19+L23+L26+L29</f>
        <v>725843.0565167789</v>
      </c>
      <c r="M33" s="111">
        <f>M10+M15+M19+M23+M26+M29</f>
        <v>367655.1569369263</v>
      </c>
      <c r="N33" s="111">
        <f>N10+N15+N19+N23+N26+N29</f>
        <v>358187.8995798526</v>
      </c>
      <c r="O33" s="111"/>
      <c r="P33" s="111"/>
    </row>
    <row r="34" spans="4:12" ht="12.75">
      <c r="D34" s="108"/>
      <c r="E34" s="108"/>
      <c r="F34" s="108"/>
      <c r="G34" s="108"/>
      <c r="H34" s="108"/>
      <c r="I34" s="111"/>
      <c r="L34" s="111"/>
    </row>
    <row r="35" spans="3:12" ht="12.75">
      <c r="C35" s="158"/>
      <c r="D35" s="158"/>
      <c r="E35" s="158"/>
      <c r="F35" s="158"/>
      <c r="G35" s="108"/>
      <c r="H35" s="108"/>
      <c r="I35" s="111"/>
      <c r="L35" s="111"/>
    </row>
    <row r="36" spans="3:12" ht="12.75" customHeight="1">
      <c r="C36" s="103"/>
      <c r="D36" s="112"/>
      <c r="E36" s="159"/>
      <c r="F36" s="159"/>
      <c r="G36" s="108"/>
      <c r="H36" s="108"/>
      <c r="I36" s="111"/>
      <c r="J36" s="111"/>
      <c r="L36" s="111"/>
    </row>
    <row r="37" spans="3:12" ht="12.75">
      <c r="C37" s="103"/>
      <c r="D37" s="112"/>
      <c r="E37" s="159"/>
      <c r="F37" s="159"/>
      <c r="G37" s="108"/>
      <c r="H37" s="108"/>
      <c r="I37" s="111"/>
      <c r="L37" s="111"/>
    </row>
    <row r="38" spans="4:14" ht="12.75">
      <c r="D38" s="108"/>
      <c r="E38" s="108"/>
      <c r="F38" s="108"/>
      <c r="H38" s="108"/>
      <c r="L38" s="111"/>
      <c r="N38" s="110"/>
    </row>
    <row r="39" spans="4:14" ht="12.75">
      <c r="D39" s="108"/>
      <c r="E39" s="108"/>
      <c r="F39" s="108"/>
      <c r="H39" s="114"/>
      <c r="I39" s="111"/>
      <c r="N39" s="110"/>
    </row>
    <row r="40" spans="3:14" ht="12.75">
      <c r="C40" s="115"/>
      <c r="D40" s="115"/>
      <c r="E40" s="116"/>
      <c r="F40" s="115"/>
      <c r="G40" s="77"/>
      <c r="H40" s="116"/>
      <c r="I40" s="76"/>
      <c r="N40" s="111"/>
    </row>
    <row r="41" spans="3:8" ht="12.75">
      <c r="C41" s="103"/>
      <c r="D41" s="112"/>
      <c r="E41" s="117"/>
      <c r="F41" s="113"/>
      <c r="G41" s="111"/>
      <c r="H41" s="117"/>
    </row>
    <row r="42" spans="4:8" ht="12.75">
      <c r="D42" s="108"/>
      <c r="E42" s="108"/>
      <c r="F42" s="108"/>
      <c r="G42" s="111"/>
      <c r="H42" s="108"/>
    </row>
    <row r="43" spans="4:9" ht="12.75">
      <c r="D43" s="108"/>
      <c r="E43" s="104"/>
      <c r="F43" s="104"/>
      <c r="G43" s="118"/>
      <c r="H43" s="104"/>
      <c r="I43" s="119"/>
    </row>
    <row r="44" spans="4:9" ht="12.75">
      <c r="D44" s="108"/>
      <c r="E44" s="104"/>
      <c r="F44" s="104"/>
      <c r="G44" s="118"/>
      <c r="H44" s="104"/>
      <c r="I44" s="118"/>
    </row>
    <row r="45" spans="4:9" ht="12.75">
      <c r="D45" s="108"/>
      <c r="E45" s="120"/>
      <c r="F45" s="120"/>
      <c r="G45" s="120"/>
      <c r="H45" s="120"/>
      <c r="I45" s="118"/>
    </row>
    <row r="46" spans="4:9" ht="12.75">
      <c r="D46" s="108"/>
      <c r="E46" s="104"/>
      <c r="F46" s="104"/>
      <c r="G46" s="118"/>
      <c r="H46" s="118"/>
      <c r="I46" s="118"/>
    </row>
    <row r="47" spans="4:9" ht="12.75">
      <c r="D47" s="108"/>
      <c r="E47" s="104"/>
      <c r="F47" s="104"/>
      <c r="G47" s="118"/>
      <c r="H47" s="118"/>
      <c r="I47" s="118"/>
    </row>
    <row r="48" spans="4:9" ht="12.75">
      <c r="D48" s="108"/>
      <c r="E48" s="104"/>
      <c r="F48" s="104"/>
      <c r="G48" s="118"/>
      <c r="H48" s="118"/>
      <c r="I48" s="118"/>
    </row>
    <row r="49" spans="4:9" ht="12.75">
      <c r="D49" s="108"/>
      <c r="E49" s="104"/>
      <c r="F49" s="104"/>
      <c r="G49" s="118"/>
      <c r="H49" s="118"/>
      <c r="I49" s="118"/>
    </row>
    <row r="50" spans="4:9" ht="12.75">
      <c r="D50" s="108"/>
      <c r="E50" s="108"/>
      <c r="F50" s="108"/>
      <c r="G50" s="111"/>
      <c r="H50" s="111"/>
      <c r="I50" s="111"/>
    </row>
  </sheetData>
  <sheetProtection/>
  <mergeCells count="26">
    <mergeCell ref="C5:E6"/>
    <mergeCell ref="C7:C8"/>
    <mergeCell ref="F5:H6"/>
    <mergeCell ref="G7:G8"/>
    <mergeCell ref="H7:H8"/>
    <mergeCell ref="F7:F8"/>
    <mergeCell ref="C35:F35"/>
    <mergeCell ref="E36:F36"/>
    <mergeCell ref="E37:F37"/>
    <mergeCell ref="O7:O8"/>
    <mergeCell ref="D7:D8"/>
    <mergeCell ref="E7:E8"/>
    <mergeCell ref="I5:I8"/>
    <mergeCell ref="M7:M8"/>
    <mergeCell ref="O6:P6"/>
    <mergeCell ref="L7:L8"/>
    <mergeCell ref="I1:N1"/>
    <mergeCell ref="J5:K6"/>
    <mergeCell ref="P7:P8"/>
    <mergeCell ref="J7:J8"/>
    <mergeCell ref="K7:K8"/>
    <mergeCell ref="N7:N8"/>
    <mergeCell ref="L5:N6"/>
    <mergeCell ref="A3:N3"/>
    <mergeCell ref="A5:A8"/>
    <mergeCell ref="B5:B8"/>
  </mergeCells>
  <printOptions/>
  <pageMargins left="0.59" right="0.16" top="0.64" bottom="0.18" header="0.5" footer="0.1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B1">
      <selection activeCell="E14" sqref="E14"/>
    </sheetView>
  </sheetViews>
  <sheetFormatPr defaultColWidth="9.00390625" defaultRowHeight="12.75"/>
  <cols>
    <col min="1" max="1" width="4.125" style="0" hidden="1" customWidth="1"/>
    <col min="2" max="2" width="45.125" style="0" customWidth="1"/>
    <col min="3" max="3" width="13.125" style="0" customWidth="1"/>
    <col min="4" max="4" width="14.875" style="0" customWidth="1"/>
    <col min="5" max="5" width="13.75390625" style="0" customWidth="1"/>
    <col min="6" max="6" width="13.375" style="0" customWidth="1"/>
    <col min="7" max="7" width="15.125" style="0" customWidth="1"/>
    <col min="8" max="8" width="13.875" style="0" customWidth="1"/>
  </cols>
  <sheetData>
    <row r="1" spans="2:9" ht="27.75" customHeight="1">
      <c r="B1" s="165" t="s">
        <v>83</v>
      </c>
      <c r="C1" s="166"/>
      <c r="D1" s="166"/>
      <c r="E1" s="166"/>
      <c r="F1" s="166"/>
      <c r="G1" s="166"/>
      <c r="H1" s="166"/>
      <c r="I1" s="121"/>
    </row>
    <row r="2" spans="2:9" ht="7.5" customHeight="1">
      <c r="B2" s="166"/>
      <c r="C2" s="166"/>
      <c r="D2" s="166"/>
      <c r="E2" s="166"/>
      <c r="F2" s="166"/>
      <c r="G2" s="166"/>
      <c r="H2" s="166"/>
      <c r="I2" s="2"/>
    </row>
    <row r="3" ht="3" customHeight="1"/>
    <row r="4" spans="2:8" ht="31.5" customHeight="1">
      <c r="B4" s="171" t="s">
        <v>65</v>
      </c>
      <c r="C4" s="172"/>
      <c r="D4" s="172"/>
      <c r="E4" s="172"/>
      <c r="F4" s="166"/>
      <c r="G4" s="166"/>
      <c r="H4" s="166"/>
    </row>
    <row r="5" spans="2:8" ht="10.5" customHeight="1">
      <c r="B5" s="172"/>
      <c r="C5" s="172"/>
      <c r="D5" s="172"/>
      <c r="E5" s="172"/>
      <c r="F5" s="166"/>
      <c r="G5" s="166"/>
      <c r="H5" s="166"/>
    </row>
    <row r="6" ht="6.75" customHeight="1"/>
    <row r="7" spans="2:8" ht="12.75" customHeight="1">
      <c r="B7" s="173" t="s">
        <v>66</v>
      </c>
      <c r="C7" s="167" t="s">
        <v>15</v>
      </c>
      <c r="D7" s="168"/>
      <c r="E7" s="169"/>
      <c r="F7" s="167" t="s">
        <v>20</v>
      </c>
      <c r="G7" s="168"/>
      <c r="H7" s="169"/>
    </row>
    <row r="8" spans="2:8" ht="12.75" customHeight="1">
      <c r="B8" s="174"/>
      <c r="C8" s="170" t="s">
        <v>67</v>
      </c>
      <c r="D8" s="170"/>
      <c r="E8" s="170" t="s">
        <v>68</v>
      </c>
      <c r="F8" s="170" t="s">
        <v>67</v>
      </c>
      <c r="G8" s="170"/>
      <c r="H8" s="170" t="s">
        <v>68</v>
      </c>
    </row>
    <row r="9" spans="2:8" ht="51">
      <c r="B9" s="174"/>
      <c r="C9" s="122" t="s">
        <v>69</v>
      </c>
      <c r="D9" s="122" t="s">
        <v>70</v>
      </c>
      <c r="E9" s="170"/>
      <c r="F9" s="122" t="s">
        <v>69</v>
      </c>
      <c r="G9" s="122" t="s">
        <v>70</v>
      </c>
      <c r="H9" s="170"/>
    </row>
    <row r="10" spans="2:8" ht="12.75">
      <c r="B10" s="175"/>
      <c r="C10" s="122" t="s">
        <v>77</v>
      </c>
      <c r="D10" s="122" t="s">
        <v>78</v>
      </c>
      <c r="E10" s="122" t="s">
        <v>79</v>
      </c>
      <c r="F10" s="122" t="s">
        <v>77</v>
      </c>
      <c r="G10" s="122" t="s">
        <v>78</v>
      </c>
      <c r="H10" s="122" t="s">
        <v>79</v>
      </c>
    </row>
    <row r="11" spans="2:8" ht="12.75">
      <c r="B11" s="123">
        <v>1</v>
      </c>
      <c r="C11" s="124">
        <v>2</v>
      </c>
      <c r="D11" s="125">
        <v>3</v>
      </c>
      <c r="E11" s="124">
        <v>4</v>
      </c>
      <c r="F11" s="125">
        <v>5</v>
      </c>
      <c r="G11" s="124">
        <v>6</v>
      </c>
      <c r="H11" s="125">
        <v>7</v>
      </c>
    </row>
    <row r="12" spans="2:8" ht="29.25" customHeight="1">
      <c r="B12" s="126" t="s">
        <v>71</v>
      </c>
      <c r="C12" s="127">
        <f>'[1]расчет инд. тарифов'!C42</f>
        <v>357217.079981634</v>
      </c>
      <c r="D12" s="127">
        <f>'[1]расчет инд. тарифов'!D42</f>
        <v>643.9679154507023</v>
      </c>
      <c r="E12" s="127">
        <f>'[1]расчет инд. тарифов'!E42</f>
        <v>3.237224676789526</v>
      </c>
      <c r="F12" s="127">
        <f>'[1]расчет инд. тарифов'!F42</f>
        <v>357217.079981634</v>
      </c>
      <c r="G12" s="127">
        <f>'[1]расчет инд. тарифов'!G42</f>
        <v>719.7488425606597</v>
      </c>
      <c r="H12" s="127">
        <f>'[1]расчет инд. тарифов'!H42</f>
        <v>3.703949831889152</v>
      </c>
    </row>
    <row r="13" spans="2:8" ht="38.25">
      <c r="B13" s="126" t="s">
        <v>72</v>
      </c>
      <c r="C13" s="127">
        <f>'[1]расчет инд. тарифов'!C43</f>
        <v>35930.05140665029</v>
      </c>
      <c r="D13" s="127">
        <f>'[1]расчет инд. тарифов'!D43</f>
        <v>290.8694143394946</v>
      </c>
      <c r="E13" s="127">
        <f>'[1]расчет инд. тарифов'!E43</f>
        <v>0.6217714595930156</v>
      </c>
      <c r="F13" s="127">
        <f>'[1]расчет инд. тарифов'!F43</f>
        <v>35930.05140665029</v>
      </c>
      <c r="G13" s="127">
        <f>'[1]расчет инд. тарифов'!G43</f>
        <v>301.0433029055425</v>
      </c>
      <c r="H13" s="127">
        <f>'[1]расчет инд. тарифов'!H43</f>
        <v>0.6537590288785008</v>
      </c>
    </row>
    <row r="14" spans="2:8" ht="53.25" customHeight="1">
      <c r="B14" s="126" t="s">
        <v>73</v>
      </c>
      <c r="C14" s="127">
        <f>'[1]расчет инд. тарифов'!C44</f>
        <v>34130.39204791145</v>
      </c>
      <c r="D14" s="127">
        <f>'[1]расчет инд. тарифов'!D44</f>
        <v>25.367917342867617</v>
      </c>
      <c r="E14" s="127">
        <f>'[1]расчет инд. тарифов'!E44</f>
        <v>0.39398438520508494</v>
      </c>
      <c r="F14" s="127">
        <f>'[1]расчет инд. тарифов'!F44</f>
        <v>34130.39204791145</v>
      </c>
      <c r="G14" s="127">
        <f>'[1]расчет инд. тарифов'!G44</f>
        <v>24.26938330097606</v>
      </c>
      <c r="H14" s="127">
        <f>'[1]расчет инд. тарифов'!H44</f>
        <v>0.3677406328069299</v>
      </c>
    </row>
    <row r="15" spans="2:8" ht="27.75" customHeight="1">
      <c r="B15" s="126" t="s">
        <v>74</v>
      </c>
      <c r="C15" s="127">
        <f>'[1]расчет инд. тарифов'!C45</f>
        <v>13487.687265917602</v>
      </c>
      <c r="D15" s="127">
        <f>'[1]расчет инд. тарифов'!D45</f>
        <v>415.9269728923402</v>
      </c>
      <c r="E15" s="127">
        <f>'[1]расчет инд. тарифов'!E45</f>
        <v>3.03855181134546</v>
      </c>
      <c r="F15" s="127">
        <f>'[1]расчет инд. тарифов'!F45</f>
        <v>13487.687265917602</v>
      </c>
      <c r="G15" s="127">
        <f>'[1]расчет инд. тарифов'!G45</f>
        <v>428.53632116293704</v>
      </c>
      <c r="H15" s="127">
        <f>'[1]расчет инд. тарифов'!H45</f>
        <v>3.1441580165320397</v>
      </c>
    </row>
    <row r="16" spans="2:8" ht="27.75" customHeight="1">
      <c r="B16" s="126" t="s">
        <v>75</v>
      </c>
      <c r="C16" s="127">
        <f>'[1]расчет инд. тарифов'!C46</f>
        <v>116396.93934646079</v>
      </c>
      <c r="D16" s="127">
        <f>'[1]расчет инд. тарифов'!D46</f>
        <v>751.8508585890619</v>
      </c>
      <c r="E16" s="127">
        <f>'[1]расчет инд. тарифов'!E46</f>
        <v>4.142480539505156</v>
      </c>
      <c r="F16" s="127">
        <f>'[1]расчет инд. тарифов'!F46</f>
        <v>116396.93934646079</v>
      </c>
      <c r="G16" s="127">
        <f>'[1]расчет инд. тарифов'!G46</f>
        <v>797.7770995506423</v>
      </c>
      <c r="H16" s="127">
        <f>'[1]расчет инд. тарифов'!H46</f>
        <v>4.188406780466736</v>
      </c>
    </row>
    <row r="17" spans="2:8" ht="30" customHeight="1">
      <c r="B17" s="126" t="s">
        <v>76</v>
      </c>
      <c r="C17" s="127">
        <f>'[1]расчет инд. тарифов'!C47</f>
        <v>40570.91007374802</v>
      </c>
      <c r="D17" s="127">
        <f>'[1]расчет инд. тарифов'!D47</f>
        <v>143.68380628447903</v>
      </c>
      <c r="E17" s="127">
        <f>'[1]расчет инд. тарифов'!E47</f>
        <v>0.5712982488377969</v>
      </c>
      <c r="F17" s="127">
        <f>'[1]расчет инд. тарифов'!F47</f>
        <v>40570.91007374802</v>
      </c>
      <c r="G17" s="127">
        <f>'[1]расчет инд. тарифов'!G47</f>
        <v>147.1088343360585</v>
      </c>
      <c r="H17" s="127">
        <f>'[1]расчет инд. тарифов'!H47</f>
        <v>0.5729684349467874</v>
      </c>
    </row>
  </sheetData>
  <sheetProtection/>
  <mergeCells count="9">
    <mergeCell ref="B1:H2"/>
    <mergeCell ref="F7:H7"/>
    <mergeCell ref="F8:G8"/>
    <mergeCell ref="H8:H9"/>
    <mergeCell ref="B4:H5"/>
    <mergeCell ref="C8:D8"/>
    <mergeCell ref="E8:E9"/>
    <mergeCell ref="B7:B10"/>
    <mergeCell ref="C7:E7"/>
  </mergeCells>
  <printOptions/>
  <pageMargins left="0.52" right="0.16" top="0.62" bottom="0.57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Базанова</dc:creator>
  <cp:keywords/>
  <dc:description/>
  <cp:lastModifiedBy>Базанова</cp:lastModifiedBy>
  <cp:lastPrinted>2017-12-29T10:14:44Z</cp:lastPrinted>
  <dcterms:created xsi:type="dcterms:W3CDTF">2017-12-27T13:46:30Z</dcterms:created>
  <dcterms:modified xsi:type="dcterms:W3CDTF">2017-12-29T10:14:57Z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