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75" windowWidth="15570" windowHeight="8325" tabRatio="717" activeTab="2"/>
  </bookViews>
  <sheets>
    <sheet name="Приложение 4" sheetId="10" r:id="rId1"/>
    <sheet name="Приложение 4 " sheetId="2" state="hidden" r:id="rId2"/>
    <sheet name="Приложение 5" sheetId="5" r:id="rId3"/>
  </sheets>
  <externalReferences>
    <externalReference r:id="rId4"/>
    <externalReference r:id="rId5"/>
  </externalReferences>
  <definedNames>
    <definedName name="_xlnm.Print_Titles" localSheetId="0">'Приложение 4'!$7:$7</definedName>
    <definedName name="_xlnm.Print_Titles" localSheetId="1">'Приложение 4 '!$4:$6</definedName>
    <definedName name="_xlnm.Print_Titles" localSheetId="2">'Приложение 5'!$7:$7</definedName>
    <definedName name="_xlnm.Print_Area" localSheetId="0">'Приложение 4'!$A$1:$S$131</definedName>
    <definedName name="_xlnm.Print_Area" localSheetId="1">'Приложение 4 '!$A$1:$N$86</definedName>
    <definedName name="_xlnm.Print_Area" localSheetId="2">'Приложение 5'!$A$1:$P$219</definedName>
  </definedNames>
  <calcPr calcId="145621"/>
</workbook>
</file>

<file path=xl/calcChain.xml><?xml version="1.0" encoding="utf-8"?>
<calcChain xmlns="http://schemas.openxmlformats.org/spreadsheetml/2006/main">
  <c r="I128" i="10" l="1"/>
  <c r="H128" i="10"/>
  <c r="I127" i="10"/>
  <c r="H127" i="10"/>
  <c r="I126" i="10"/>
  <c r="H126" i="10"/>
  <c r="I57" i="5" l="1"/>
  <c r="I25" i="5"/>
  <c r="L25" i="10"/>
  <c r="L16" i="10" s="1"/>
  <c r="L10" i="10" s="1"/>
  <c r="I194" i="5" l="1"/>
  <c r="I193" i="5"/>
  <c r="H178" i="5"/>
  <c r="I177" i="5"/>
  <c r="I169" i="5" s="1"/>
  <c r="I168" i="5" s="1"/>
  <c r="H177" i="5"/>
  <c r="H169" i="5" s="1"/>
  <c r="I176" i="5"/>
  <c r="H175" i="5"/>
  <c r="G175" i="5"/>
  <c r="F175" i="5"/>
  <c r="E175" i="5"/>
  <c r="H174" i="5"/>
  <c r="G174" i="5"/>
  <c r="F174" i="5"/>
  <c r="E174" i="5"/>
  <c r="H173" i="5"/>
  <c r="G173" i="5"/>
  <c r="F173" i="5"/>
  <c r="E173" i="5"/>
  <c r="H172" i="5"/>
  <c r="G172" i="5"/>
  <c r="F172" i="5"/>
  <c r="E172" i="5"/>
  <c r="H171" i="5"/>
  <c r="G171" i="5"/>
  <c r="F171" i="5"/>
  <c r="E171" i="5"/>
  <c r="H170" i="5"/>
  <c r="G170" i="5"/>
  <c r="F170" i="5"/>
  <c r="E170" i="5"/>
  <c r="G169" i="5"/>
  <c r="F169" i="5"/>
  <c r="E169" i="5"/>
  <c r="H168" i="5"/>
  <c r="G168" i="5"/>
  <c r="F168" i="5"/>
  <c r="E168" i="5"/>
  <c r="H160" i="5"/>
  <c r="G160" i="5"/>
  <c r="F160" i="5"/>
  <c r="E160" i="5"/>
  <c r="H152" i="5"/>
  <c r="G152" i="5"/>
  <c r="F152" i="5"/>
  <c r="E152" i="5"/>
  <c r="H144" i="5"/>
  <c r="G144" i="5"/>
  <c r="F144" i="5"/>
  <c r="E144" i="5"/>
  <c r="I129" i="5"/>
  <c r="I128" i="5" s="1"/>
  <c r="H127" i="5"/>
  <c r="G127" i="5"/>
  <c r="F127" i="5"/>
  <c r="E127" i="5"/>
  <c r="H126" i="5"/>
  <c r="G126" i="5"/>
  <c r="F126" i="5"/>
  <c r="E126" i="5"/>
  <c r="H125" i="5"/>
  <c r="G125" i="5"/>
  <c r="F125" i="5"/>
  <c r="E125" i="5"/>
  <c r="H124" i="5"/>
  <c r="G124" i="5"/>
  <c r="F124" i="5"/>
  <c r="E124" i="5"/>
  <c r="H123" i="5"/>
  <c r="G123" i="5"/>
  <c r="F123" i="5"/>
  <c r="E123" i="5"/>
  <c r="H122" i="5"/>
  <c r="G122" i="5"/>
  <c r="F122" i="5"/>
  <c r="E122" i="5"/>
  <c r="H121" i="5"/>
  <c r="G121" i="5"/>
  <c r="F121" i="5"/>
  <c r="E121" i="5"/>
  <c r="H120" i="5"/>
  <c r="G120" i="5"/>
  <c r="F120" i="5"/>
  <c r="E120" i="5"/>
  <c r="K112" i="5"/>
  <c r="H112" i="5"/>
  <c r="G112" i="5"/>
  <c r="F112" i="5"/>
  <c r="E112" i="5"/>
  <c r="K96" i="5"/>
  <c r="J96" i="5"/>
  <c r="I90" i="5"/>
  <c r="H90" i="5"/>
  <c r="J89" i="5"/>
  <c r="I89" i="5"/>
  <c r="H89" i="5"/>
  <c r="K88" i="5"/>
  <c r="J88" i="5"/>
  <c r="H88" i="5"/>
  <c r="I80" i="5"/>
  <c r="H74" i="5"/>
  <c r="K73" i="5"/>
  <c r="K65" i="5" s="1"/>
  <c r="J73" i="5"/>
  <c r="I73" i="5"/>
  <c r="H73" i="5"/>
  <c r="K72" i="5"/>
  <c r="J72" i="5"/>
  <c r="I72" i="5"/>
  <c r="H72" i="5"/>
  <c r="H64" i="5" s="1"/>
  <c r="H56" i="5" s="1"/>
  <c r="K71" i="5"/>
  <c r="J71" i="5"/>
  <c r="I71" i="5"/>
  <c r="H71" i="5"/>
  <c r="G71" i="5"/>
  <c r="F71" i="5"/>
  <c r="E71" i="5"/>
  <c r="K70" i="5"/>
  <c r="J70" i="5"/>
  <c r="I70" i="5"/>
  <c r="H70" i="5"/>
  <c r="G70" i="5"/>
  <c r="F70" i="5"/>
  <c r="E70" i="5"/>
  <c r="K69" i="5"/>
  <c r="J69" i="5"/>
  <c r="I69" i="5"/>
  <c r="H69" i="5"/>
  <c r="G69" i="5"/>
  <c r="F69" i="5"/>
  <c r="E69" i="5"/>
  <c r="K68" i="5"/>
  <c r="J68" i="5"/>
  <c r="I68" i="5"/>
  <c r="H68" i="5"/>
  <c r="G68" i="5"/>
  <c r="F68" i="5"/>
  <c r="E68" i="5"/>
  <c r="K67" i="5"/>
  <c r="J67" i="5"/>
  <c r="I67" i="5"/>
  <c r="H67" i="5"/>
  <c r="G67" i="5"/>
  <c r="F67" i="5"/>
  <c r="E67" i="5"/>
  <c r="K66" i="5"/>
  <c r="K10" i="5" s="1"/>
  <c r="J66" i="5"/>
  <c r="J10" i="5" s="1"/>
  <c r="I66" i="5"/>
  <c r="G66" i="5"/>
  <c r="F66" i="5"/>
  <c r="E66" i="5"/>
  <c r="J65" i="5"/>
  <c r="G65" i="5"/>
  <c r="F65" i="5"/>
  <c r="E65" i="5"/>
  <c r="G64" i="5"/>
  <c r="F64" i="5"/>
  <c r="F56" i="5" s="1"/>
  <c r="E64" i="5"/>
  <c r="E56" i="5" s="1"/>
  <c r="K57" i="5"/>
  <c r="K56" i="5" s="1"/>
  <c r="J57" i="5"/>
  <c r="J56" i="5" s="1"/>
  <c r="I56" i="5"/>
  <c r="G56" i="5"/>
  <c r="K49" i="5"/>
  <c r="K48" i="5" s="1"/>
  <c r="J49" i="5"/>
  <c r="J48" i="5" s="1"/>
  <c r="I49" i="5"/>
  <c r="I48" i="5" s="1"/>
  <c r="K41" i="5"/>
  <c r="K40" i="5" s="1"/>
  <c r="J41" i="5"/>
  <c r="J40" i="5" s="1"/>
  <c r="I41" i="5"/>
  <c r="I40" i="5" s="1"/>
  <c r="K25" i="5"/>
  <c r="K24" i="5" s="1"/>
  <c r="J25" i="5"/>
  <c r="J24" i="5" s="1"/>
  <c r="I24" i="5"/>
  <c r="H23" i="5"/>
  <c r="G23" i="5"/>
  <c r="F23" i="5"/>
  <c r="E23" i="5"/>
  <c r="H22" i="5"/>
  <c r="H14" i="5" s="1"/>
  <c r="G22" i="5"/>
  <c r="F22" i="5"/>
  <c r="E22" i="5"/>
  <c r="H21" i="5"/>
  <c r="H13" i="5" s="1"/>
  <c r="G21" i="5"/>
  <c r="F21" i="5"/>
  <c r="E21" i="5"/>
  <c r="H20" i="5"/>
  <c r="H12" i="5" s="1"/>
  <c r="G20" i="5"/>
  <c r="F20" i="5"/>
  <c r="E20" i="5"/>
  <c r="H19" i="5"/>
  <c r="G19" i="5"/>
  <c r="F19" i="5"/>
  <c r="E19" i="5"/>
  <c r="H18" i="5"/>
  <c r="H16" i="5" s="1"/>
  <c r="G18" i="5"/>
  <c r="F18" i="5"/>
  <c r="F10" i="5" s="1"/>
  <c r="E18" i="5"/>
  <c r="G17" i="5"/>
  <c r="G16" i="5" s="1"/>
  <c r="F17" i="5"/>
  <c r="E17" i="5"/>
  <c r="E16" i="5" s="1"/>
  <c r="E15" i="5"/>
  <c r="E13" i="5"/>
  <c r="L128" i="10"/>
  <c r="L127" i="10"/>
  <c r="L126" i="10"/>
  <c r="K125" i="10"/>
  <c r="J125" i="10"/>
  <c r="I125" i="10"/>
  <c r="H125" i="10"/>
  <c r="K123" i="10"/>
  <c r="J123" i="10"/>
  <c r="I123" i="10"/>
  <c r="H123" i="10"/>
  <c r="L121" i="10"/>
  <c r="L120" i="10" s="1"/>
  <c r="K121" i="10"/>
  <c r="K120" i="10" s="1"/>
  <c r="J121" i="10"/>
  <c r="J118" i="10" s="1"/>
  <c r="I121" i="10"/>
  <c r="I118" i="10" s="1"/>
  <c r="H121" i="10"/>
  <c r="H118" i="10" s="1"/>
  <c r="J120" i="10"/>
  <c r="H120" i="10"/>
  <c r="N119" i="10"/>
  <c r="N12" i="10" s="1"/>
  <c r="M119" i="10"/>
  <c r="M12" i="10" s="1"/>
  <c r="L119" i="10"/>
  <c r="L12" i="10" s="1"/>
  <c r="K119" i="10"/>
  <c r="J119" i="10"/>
  <c r="J12" i="10" s="1"/>
  <c r="I119" i="10"/>
  <c r="I12" i="10" s="1"/>
  <c r="H119" i="10"/>
  <c r="H12" i="10" s="1"/>
  <c r="K115" i="10"/>
  <c r="J115" i="10"/>
  <c r="I115" i="10"/>
  <c r="H115" i="10"/>
  <c r="K113" i="10"/>
  <c r="J113" i="10"/>
  <c r="I113" i="10"/>
  <c r="H113" i="10"/>
  <c r="K111" i="10"/>
  <c r="J111" i="10"/>
  <c r="I111" i="10"/>
  <c r="H111" i="10"/>
  <c r="K109" i="10"/>
  <c r="K108" i="10" s="1"/>
  <c r="K107" i="10" s="1"/>
  <c r="J109" i="10"/>
  <c r="J108" i="10" s="1"/>
  <c r="J107" i="10" s="1"/>
  <c r="I109" i="10"/>
  <c r="I108" i="10" s="1"/>
  <c r="I107" i="10" s="1"/>
  <c r="H109" i="10"/>
  <c r="H108" i="10" s="1"/>
  <c r="H107" i="10" s="1"/>
  <c r="L108" i="10"/>
  <c r="L106" i="10"/>
  <c r="I106" i="10"/>
  <c r="I104" i="10" s="1"/>
  <c r="H106" i="10"/>
  <c r="L105" i="10"/>
  <c r="K104" i="10"/>
  <c r="J104" i="10"/>
  <c r="H104" i="10"/>
  <c r="M99" i="10"/>
  <c r="L99" i="10"/>
  <c r="K97" i="10"/>
  <c r="J97" i="10"/>
  <c r="I97" i="10"/>
  <c r="H97" i="10"/>
  <c r="N93" i="10"/>
  <c r="M93" i="10"/>
  <c r="K93" i="10"/>
  <c r="J93" i="10"/>
  <c r="I93" i="10"/>
  <c r="H93" i="10"/>
  <c r="N88" i="10"/>
  <c r="N80" i="10" s="1"/>
  <c r="M88" i="10"/>
  <c r="M80" i="10" s="1"/>
  <c r="L88" i="10"/>
  <c r="H87" i="10"/>
  <c r="H80" i="10" s="1"/>
  <c r="I84" i="10"/>
  <c r="L82" i="10"/>
  <c r="L81" i="10"/>
  <c r="K80" i="10"/>
  <c r="J80" i="10"/>
  <c r="I80" i="10"/>
  <c r="L79" i="10"/>
  <c r="L78" i="10" s="1"/>
  <c r="K78" i="10"/>
  <c r="J78" i="10"/>
  <c r="I78" i="10"/>
  <c r="H78" i="10"/>
  <c r="I76" i="10"/>
  <c r="I73" i="10"/>
  <c r="H71" i="10"/>
  <c r="H70" i="10"/>
  <c r="L60" i="10"/>
  <c r="L59" i="10"/>
  <c r="L58" i="10"/>
  <c r="L56" i="10"/>
  <c r="L55" i="10"/>
  <c r="L54" i="10"/>
  <c r="L53" i="10"/>
  <c r="L52" i="10"/>
  <c r="N51" i="10"/>
  <c r="M51" i="10"/>
  <c r="K51" i="10"/>
  <c r="J51" i="10"/>
  <c r="H51" i="10"/>
  <c r="L50" i="10"/>
  <c r="K50" i="10"/>
  <c r="J50" i="10"/>
  <c r="I50" i="10"/>
  <c r="H50" i="10"/>
  <c r="M48" i="10"/>
  <c r="K48" i="10"/>
  <c r="J48" i="10"/>
  <c r="L45" i="10"/>
  <c r="L44" i="10" s="1"/>
  <c r="K44" i="10"/>
  <c r="J44" i="10"/>
  <c r="I44" i="10"/>
  <c r="H44" i="10"/>
  <c r="L36" i="10"/>
  <c r="L32" i="10" s="1"/>
  <c r="K32" i="10"/>
  <c r="J32" i="10"/>
  <c r="I32" i="10"/>
  <c r="H32" i="10"/>
  <c r="L31" i="10"/>
  <c r="L30" i="10"/>
  <c r="K30" i="10"/>
  <c r="J30" i="10"/>
  <c r="I30" i="10"/>
  <c r="H30" i="10"/>
  <c r="K27" i="10"/>
  <c r="J27" i="10"/>
  <c r="I27" i="10"/>
  <c r="H27" i="10"/>
  <c r="I23" i="10"/>
  <c r="L22" i="10"/>
  <c r="M21" i="10"/>
  <c r="L21" i="10"/>
  <c r="I21" i="10"/>
  <c r="H21" i="10"/>
  <c r="M20" i="10"/>
  <c r="L20" i="10"/>
  <c r="I20" i="10"/>
  <c r="I19" i="10" s="1"/>
  <c r="H20" i="10"/>
  <c r="H19" i="10" s="1"/>
  <c r="M19" i="10"/>
  <c r="K19" i="10"/>
  <c r="J19" i="10"/>
  <c r="K18" i="10"/>
  <c r="K13" i="10" s="1"/>
  <c r="J18" i="10"/>
  <c r="I18" i="10"/>
  <c r="I13" i="10" s="1"/>
  <c r="H18" i="10"/>
  <c r="L17" i="10"/>
  <c r="K17" i="10"/>
  <c r="J17" i="10"/>
  <c r="I17" i="10"/>
  <c r="I11" i="10" s="1"/>
  <c r="H17" i="10"/>
  <c r="H11" i="10" s="1"/>
  <c r="K16" i="10"/>
  <c r="K10" i="10" s="1"/>
  <c r="J16" i="10"/>
  <c r="J10" i="10" s="1"/>
  <c r="I16" i="10"/>
  <c r="I10" i="10" s="1"/>
  <c r="H16" i="10"/>
  <c r="H10" i="10" s="1"/>
  <c r="M15" i="10"/>
  <c r="K15" i="10"/>
  <c r="J15" i="10"/>
  <c r="L13" i="10"/>
  <c r="J13" i="10"/>
  <c r="H13" i="10"/>
  <c r="K12" i="10"/>
  <c r="L11" i="10"/>
  <c r="K11" i="10"/>
  <c r="N9" i="10"/>
  <c r="S8" i="10"/>
  <c r="R8" i="10"/>
  <c r="Q8" i="10"/>
  <c r="P8" i="10"/>
  <c r="O8" i="10"/>
  <c r="I103" i="10" l="1"/>
  <c r="I102" i="10" s="1"/>
  <c r="I120" i="10"/>
  <c r="H117" i="10"/>
  <c r="J117" i="10"/>
  <c r="I88" i="5"/>
  <c r="H65" i="5"/>
  <c r="K17" i="5"/>
  <c r="K16" i="5" s="1"/>
  <c r="G12" i="5"/>
  <c r="G14" i="5"/>
  <c r="L118" i="10"/>
  <c r="L117" i="10" s="1"/>
  <c r="K103" i="10"/>
  <c r="J64" i="5"/>
  <c r="I65" i="5"/>
  <c r="I64" i="5" s="1"/>
  <c r="I48" i="10"/>
  <c r="J17" i="5"/>
  <c r="J16" i="5" s="1"/>
  <c r="G10" i="5"/>
  <c r="G11" i="5"/>
  <c r="G13" i="5"/>
  <c r="G15" i="5"/>
  <c r="I10" i="5"/>
  <c r="I121" i="5"/>
  <c r="I120" i="5" s="1"/>
  <c r="M9" i="10"/>
  <c r="H48" i="10"/>
  <c r="H47" i="10" s="1"/>
  <c r="I117" i="10"/>
  <c r="L125" i="10"/>
  <c r="F16" i="5"/>
  <c r="G9" i="5"/>
  <c r="E12" i="5"/>
  <c r="H66" i="5"/>
  <c r="H10" i="5" s="1"/>
  <c r="E10" i="5"/>
  <c r="E11" i="5"/>
  <c r="E14" i="5"/>
  <c r="L15" i="10"/>
  <c r="L19" i="10"/>
  <c r="I17" i="5"/>
  <c r="I16" i="5" s="1"/>
  <c r="M14" i="10"/>
  <c r="H103" i="10"/>
  <c r="H102" i="10" s="1"/>
  <c r="J14" i="10"/>
  <c r="I47" i="10"/>
  <c r="H15" i="10"/>
  <c r="H14" i="10" s="1"/>
  <c r="K47" i="10"/>
  <c r="I51" i="10"/>
  <c r="J103" i="10"/>
  <c r="J102" i="10" s="1"/>
  <c r="J11" i="10"/>
  <c r="K14" i="10"/>
  <c r="L80" i="10"/>
  <c r="L51" i="10"/>
  <c r="K102" i="10"/>
  <c r="M50" i="10"/>
  <c r="H9" i="5"/>
  <c r="I15" i="10"/>
  <c r="L48" i="10"/>
  <c r="L47" i="10" s="1"/>
  <c r="N50" i="10"/>
  <c r="L104" i="10"/>
  <c r="L103" i="10" s="1"/>
  <c r="L102" i="10" s="1"/>
  <c r="E9" i="5"/>
  <c r="K9" i="5"/>
  <c r="K8" i="5" s="1"/>
  <c r="J47" i="10"/>
  <c r="H11" i="5"/>
  <c r="H15" i="5"/>
  <c r="K64" i="5"/>
  <c r="K118" i="10"/>
  <c r="K117" i="10" s="1"/>
  <c r="F11" i="5"/>
  <c r="F12" i="5"/>
  <c r="F13" i="5"/>
  <c r="F14" i="5"/>
  <c r="F15" i="5"/>
  <c r="F9" i="5"/>
  <c r="J9" i="5" l="1"/>
  <c r="J8" i="5" s="1"/>
  <c r="I9" i="5"/>
  <c r="I8" i="5" s="1"/>
  <c r="H8" i="5"/>
  <c r="G8" i="5"/>
  <c r="L14" i="10"/>
  <c r="L9" i="10"/>
  <c r="L8" i="10" s="1"/>
  <c r="H9" i="10"/>
  <c r="H8" i="10" s="1"/>
  <c r="J9" i="10"/>
  <c r="J8" i="10" s="1"/>
  <c r="I9" i="10"/>
  <c r="I8" i="10" s="1"/>
  <c r="I14" i="10"/>
  <c r="E8" i="5"/>
  <c r="F8" i="5"/>
  <c r="N47" i="10"/>
  <c r="N13" i="10"/>
  <c r="N8" i="10" s="1"/>
  <c r="S8" i="5" s="1"/>
  <c r="K9" i="10"/>
  <c r="K8" i="10" s="1"/>
  <c r="M47" i="10"/>
  <c r="M13" i="10"/>
  <c r="M8" i="10" s="1"/>
  <c r="Q9" i="5" l="1"/>
  <c r="Q8" i="5"/>
  <c r="I24" i="2" l="1"/>
  <c r="I23" i="2"/>
  <c r="I22" i="2"/>
  <c r="H23" i="2"/>
  <c r="H22" i="2"/>
  <c r="H18" i="2" s="1"/>
  <c r="H82" i="2"/>
  <c r="I63" i="2"/>
  <c r="I62" i="2"/>
  <c r="I52" i="2"/>
  <c r="N62" i="2"/>
  <c r="M62" i="2"/>
  <c r="L62" i="2"/>
  <c r="K62" i="2"/>
  <c r="J62" i="2"/>
  <c r="I86" i="2"/>
  <c r="I84" i="2" s="1"/>
  <c r="I83" i="2" s="1"/>
  <c r="H86" i="2"/>
  <c r="H84" i="2" s="1"/>
  <c r="H83" i="2" s="1"/>
  <c r="N84" i="2"/>
  <c r="N83" i="2" s="1"/>
  <c r="M84" i="2"/>
  <c r="M83" i="2" s="1"/>
  <c r="L84" i="2"/>
  <c r="L83" i="2" s="1"/>
  <c r="K84" i="2"/>
  <c r="K83" i="2" s="1"/>
  <c r="J84" i="2"/>
  <c r="J83" i="2" s="1"/>
  <c r="N82" i="2"/>
  <c r="M82" i="2"/>
  <c r="L82" i="2"/>
  <c r="K82" i="2"/>
  <c r="J82" i="2"/>
  <c r="I82" i="2"/>
  <c r="H79" i="2"/>
  <c r="I78" i="2"/>
  <c r="H66" i="2"/>
  <c r="H62" i="2"/>
  <c r="H60" i="2"/>
  <c r="H52" i="2" s="1"/>
  <c r="H58" i="2"/>
  <c r="I55" i="2"/>
  <c r="N52" i="2"/>
  <c r="M52" i="2"/>
  <c r="L52" i="2"/>
  <c r="K52" i="2"/>
  <c r="J52" i="2"/>
  <c r="H50" i="2"/>
  <c r="H49" i="2"/>
  <c r="I45" i="2"/>
  <c r="N44" i="2"/>
  <c r="M44" i="2"/>
  <c r="L44" i="2"/>
  <c r="K44" i="2"/>
  <c r="J44" i="2"/>
  <c r="I44" i="2"/>
  <c r="N37" i="2"/>
  <c r="M37" i="2"/>
  <c r="L37" i="2"/>
  <c r="K37" i="2"/>
  <c r="J37" i="2"/>
  <c r="I37" i="2"/>
  <c r="H37" i="2"/>
  <c r="N21" i="2"/>
  <c r="M21" i="2"/>
  <c r="L21" i="2"/>
  <c r="K21" i="2"/>
  <c r="J21" i="2"/>
  <c r="I21" i="2"/>
  <c r="H21" i="2"/>
  <c r="N18" i="2"/>
  <c r="M18" i="2"/>
  <c r="L18" i="2"/>
  <c r="K18" i="2"/>
  <c r="J18" i="2"/>
  <c r="N14" i="2"/>
  <c r="M14" i="2"/>
  <c r="L14" i="2"/>
  <c r="K14" i="2"/>
  <c r="J14" i="2"/>
  <c r="I14" i="2"/>
  <c r="H14" i="2"/>
  <c r="N13" i="2"/>
  <c r="M13" i="2"/>
  <c r="L13" i="2"/>
  <c r="K13" i="2"/>
  <c r="J13" i="2"/>
  <c r="I13" i="2"/>
  <c r="H13" i="2"/>
  <c r="N12" i="2"/>
  <c r="M12" i="2"/>
  <c r="L12" i="2"/>
  <c r="K12" i="2"/>
  <c r="J12" i="2"/>
  <c r="I12" i="2"/>
  <c r="H12" i="2"/>
  <c r="N11" i="2"/>
  <c r="M11" i="2"/>
  <c r="L11" i="2"/>
  <c r="K11" i="2"/>
  <c r="J11" i="2"/>
  <c r="I11" i="2"/>
  <c r="J10" i="2"/>
  <c r="I10" i="2"/>
  <c r="L16" i="2" l="1"/>
  <c r="I15" i="2"/>
  <c r="M15" i="2"/>
  <c r="K15" i="2"/>
  <c r="R8" i="5"/>
  <c r="J15" i="2"/>
  <c r="K16" i="2"/>
  <c r="N16" i="2"/>
  <c r="H16" i="2"/>
  <c r="N15" i="2"/>
  <c r="I34" i="2"/>
  <c r="I33" i="2" s="1"/>
  <c r="M34" i="2"/>
  <c r="M33" i="2" s="1"/>
  <c r="K34" i="2"/>
  <c r="K33" i="2" s="1"/>
  <c r="H15" i="2"/>
  <c r="L15" i="2"/>
  <c r="L34" i="2"/>
  <c r="L33" i="2" s="1"/>
  <c r="N34" i="2"/>
  <c r="N33" i="2" s="1"/>
  <c r="J34" i="2"/>
  <c r="J33" i="2" s="1"/>
  <c r="I18" i="2"/>
  <c r="I16" i="2" s="1"/>
  <c r="J16" i="2"/>
  <c r="M16" i="2"/>
  <c r="H34" i="2"/>
  <c r="K9" i="2" l="1"/>
  <c r="K8" i="2" s="1"/>
  <c r="K7" i="2" s="1"/>
  <c r="N9" i="2"/>
  <c r="N8" i="2" s="1"/>
  <c r="N7" i="2" s="1"/>
  <c r="M9" i="2"/>
  <c r="M8" i="2" s="1"/>
  <c r="M7" i="2" s="1"/>
  <c r="I9" i="2"/>
  <c r="I8" i="2" s="1"/>
  <c r="I7" i="2" s="1"/>
  <c r="Q10" i="5"/>
  <c r="L9" i="2"/>
  <c r="L8" i="2" s="1"/>
  <c r="L7" i="2" s="1"/>
  <c r="J9" i="2"/>
  <c r="J8" i="2" s="1"/>
  <c r="J7" i="2" s="1"/>
  <c r="H33" i="2"/>
  <c r="H9" i="2"/>
  <c r="H8" i="2" s="1"/>
  <c r="H7" i="2" s="1"/>
</calcChain>
</file>

<file path=xl/sharedStrings.xml><?xml version="1.0" encoding="utf-8"?>
<sst xmlns="http://schemas.openxmlformats.org/spreadsheetml/2006/main" count="2287" uniqueCount="229">
  <si>
    <t>Финансовое обеспечение реализации государственной программы за счет средств бюджета Республики Карелия (тыс. руб.)</t>
  </si>
  <si>
    <t>Статус</t>
  </si>
  <si>
    <t>Наименование государственной программы, подпрограммы государственной программы, целевой программы (подпрограммы целевой программы), ведомственной целевой программы, основного мероприятия (мероприятия)</t>
  </si>
  <si>
    <t>Ответственный исполнитель, соисполнитель</t>
  </si>
  <si>
    <t>Код бюджетной классификации</t>
  </si>
  <si>
    <t>Расходы (тыс. рублей), годы</t>
  </si>
  <si>
    <t>ГРБС</t>
  </si>
  <si>
    <t>Рз Пр</t>
  </si>
  <si>
    <t>ЦСР</t>
  </si>
  <si>
    <t>ВР</t>
  </si>
  <si>
    <t>Государственная программа</t>
  </si>
  <si>
    <t>Развитие образования в Республике Карелия на 2014-2020 годы</t>
  </si>
  <si>
    <t>всего, в том числе:</t>
  </si>
  <si>
    <t>X</t>
  </si>
  <si>
    <t>Министерство образования Республики Карелия</t>
  </si>
  <si>
    <t>программные мероприятия</t>
  </si>
  <si>
    <t xml:space="preserve">осуществление полномочий Республики Карелия органами исполнительной власти Республики Карелия в рамках непрограммного направления деятельности
</t>
  </si>
  <si>
    <t>осуществление полномочий Российской Федерации органами исполнительной власти Республики Карелия в рамках непрограммного направления деятельности</t>
  </si>
  <si>
    <t>Министерство здравоохранения и социального развития Республики Карелия</t>
  </si>
  <si>
    <t>Министерство культуры Республики Карелия</t>
  </si>
  <si>
    <t>Министерство по делам молодежи, физической культуре и спорту Республики Карелия</t>
  </si>
  <si>
    <t>Министерство строительства, жилищно-коммунального хозяйства и энергетики Республики Карелия</t>
  </si>
  <si>
    <t>Подпрограмма 1</t>
  </si>
  <si>
    <t>"Развитие профессионального образования"</t>
  </si>
  <si>
    <t>всего,</t>
  </si>
  <si>
    <t>в том числе:</t>
  </si>
  <si>
    <t>07 04</t>
  </si>
  <si>
    <t>02 1 2313</t>
  </si>
  <si>
    <t>02 1 2331</t>
  </si>
  <si>
    <t>610, 620, 240</t>
  </si>
  <si>
    <t>02 1 3893</t>
  </si>
  <si>
    <t>07 09</t>
  </si>
  <si>
    <t>02 1 7522</t>
  </si>
  <si>
    <t>01 0 2313</t>
  </si>
  <si>
    <t>07 0 2313</t>
  </si>
  <si>
    <t>02 1 7578</t>
  </si>
  <si>
    <t>Подпрограмма 2</t>
  </si>
  <si>
    <t>«Развитие дошкольного, общего и дополнительного образования детей»</t>
  </si>
  <si>
    <t>07 01</t>
  </si>
  <si>
    <t>02 2 6544</t>
  </si>
  <si>
    <t>02 2 4206</t>
  </si>
  <si>
    <t>02 2 4302</t>
  </si>
  <si>
    <t>10 04</t>
  </si>
  <si>
    <t>02 2 4203</t>
  </si>
  <si>
    <t xml:space="preserve">07 09 </t>
  </si>
  <si>
    <t>02 0 2331</t>
  </si>
  <si>
    <t>07 02</t>
  </si>
  <si>
    <t>02 0 5801</t>
  </si>
  <si>
    <t>02 2 2308</t>
  </si>
  <si>
    <t>110, 240, 610, 630, 850</t>
  </si>
  <si>
    <t>02 2 2309</t>
  </si>
  <si>
    <t>02 2 4205</t>
  </si>
  <si>
    <t>01 04</t>
  </si>
  <si>
    <t>02 2 4202</t>
  </si>
  <si>
    <t>02 2 4210</t>
  </si>
  <si>
    <t>02 0 7564</t>
  </si>
  <si>
    <t>610, 620</t>
  </si>
  <si>
    <t>02 0 5026</t>
  </si>
  <si>
    <t>610, 240</t>
  </si>
  <si>
    <t>02 2 2313</t>
  </si>
  <si>
    <t>02 2 2331</t>
  </si>
  <si>
    <t>110, 240, 850</t>
  </si>
  <si>
    <t>02 2 5026</t>
  </si>
  <si>
    <t>02 2 7580</t>
  </si>
  <si>
    <t>02 2 2314</t>
  </si>
  <si>
    <t>07 05</t>
  </si>
  <si>
    <t>02 2 2315</t>
  </si>
  <si>
    <t>02 2 5059</t>
  </si>
  <si>
    <t>240, 410, 520</t>
  </si>
  <si>
    <t>02 0 7601</t>
  </si>
  <si>
    <t>02 2 2097</t>
  </si>
  <si>
    <t>02 0 5097</t>
  </si>
  <si>
    <t>02 0 7565</t>
  </si>
  <si>
    <t>02 2 7578</t>
  </si>
  <si>
    <t>02 2 9040</t>
  </si>
  <si>
    <t>02 2 4204</t>
  </si>
  <si>
    <t>02 2 4312</t>
  </si>
  <si>
    <t>02 2 4401</t>
  </si>
  <si>
    <t>02 0 7563 02 2 7578</t>
  </si>
  <si>
    <t>02 0 5088 02 2 7576</t>
  </si>
  <si>
    <t>02 2 5088</t>
  </si>
  <si>
    <t>Подпрограмма 3</t>
  </si>
  <si>
    <t>"Развитие системы оценки качества образования"</t>
  </si>
  <si>
    <t>всего</t>
  </si>
  <si>
    <t>02 3 2331</t>
  </si>
  <si>
    <t>02 3 7509</t>
  </si>
  <si>
    <t>Реализация образовательных программ среднего профессионального образования: реализация профессиональными образовательными организациями государственного задания на оказание услуг по реализации основных профессиональных образовательных программ среднего профессионального образования; установление контрольных цифр приема на конкурсной основе в соответствии с потребностями рынка труда;повышение квалификации и (или)  профессиональная переподготовка руководителей и педагогических работников; доведение средней заработной платы преподавателей и мастеров производственного обучения профессиональных образовательных организаций Республики Карелия до средней заработной платы в Республике Карелия; выявление и развитие творческих и интеллектуальных способностей талантливых студентов, в том числе через развитие системы республиканских конкурсов профессионального мастерства и олимпиад, выплата именных стипендий Республики Карелия обучающимся по основным профессиональным образовательным программам; создание условий для получения среднего профессионального образования лицами с ограниченными возможностями здоровья; организация профессиональными образовательными организациями воспитательной работы со студентами, проведение мероприятий, направленных на воспитание патриотизма, формирование толерантного сознания, мероприятий социальной направленности.</t>
  </si>
  <si>
    <t>Модернизация основных образовательных программ среднего профессионального образования, обеспечивающая гибкость и индивидуализацию процесса обучения с использованием новых технологий: внедрение  профессиональными образовательными организациями новых образовательных технологий, форм организации образовательного процесса; оптимизация сети профессиональных образовательных организаций Республики Карелия; создание многофункциональных центров прикладных квалификаций и реализация на их базе образовательных  программ; повышение качества управления в системе среднего профессионального образования; разработка и внедрение сетевых форм реализации образовательных программ.</t>
  </si>
  <si>
    <t>Развитие системы непрерывного профессионального образования, в том числе развитие системы дополнительного профессионального образования, а также заочной и очно-заочной форм получения образования: реализация программ дополнительного профессионального образования; реализации программ профессионального обучения; расширение практики применения электронного обучения и дистанционных образовательных технологий  (в т.ч. через ресурсный  центр дистанционной поддержки образования); совершенствование взаимодействия работодателей и профессиональных образовательных организаций; развитие государственно-частного партнерства; проведение мероприятий по популяризации профессионального образования; информирование населения о системе профессионального образования и оказываемых услугах через средства массовой информации и информационно-телекоммуникационную сеть «Интернет».</t>
  </si>
  <si>
    <t>Модернизация инфраструктуры системы профессионального образования: приобретение учебного, учебно-производственного и учебно-лабораторного оборудования; проведение мероприятий по энергосбережению и повышению энергетической эффективности; строительство (реконструкция), капитальный ремонт зданий образовательных организаций и обновление общежитий, спортивных объектов, в том числе с использованием механизмов государственно-частного партнерства.</t>
  </si>
  <si>
    <t xml:space="preserve"> Реализация образовательной услуги дошкольного образования и услуги присмотра и ухода: приведение и реализация дошкольными образовательными организациями образовательных  программ дошкольного образования  в соответствии с федеральным государственным образовательным стандартом дошкольного образования с учетом примерной образовательной программы дошкольного образования; компенсация части родительской платы за присмотр и уход за детьми в государственных и муниципальных образовательных организациях; создание дополнительных мест в государственных (муниципальных) образовательных организациях различных типов, в том числе через вариативные формы реализации дошкольного образования; развитие и реализация моделей поддержки раннего развития детей (в возрасте от 0 до 3 лет); создание консультационных центров для получения родителями (законными представителями) методической, психолого-педагогической, диагностической и консультативной помощи; создание условий для развития негосударственного сектора дошкольного образования; финансовое обеспечение реализации образовательной программы дошкольного образования в негосударственном секторе дошкольного образования.</t>
  </si>
  <si>
    <t>Разработка и реализация программы поддержки общеобразовательных организаций, работающих в сложных социальных условиях: мониторинг и сравнительный анализ результатов единого государственного экзамена общеобразовательных организаций, работающих в сложных социальных условиях, с иными общеобразовательными организациями; апробация механизма поддержки общеобразовательных организаций, работающих в сложных социальных условиях; поддержка адресных программ повышения качества деятельности общеобразовательных организаций, работающих в сложных социальных условиях, демонстрирующих низкие образовательные результаты;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условиях.</t>
  </si>
  <si>
    <t>Выявление и поддержка одаренных детей и молодежи: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469р-П; финансовое обеспечение, методическое и информационное сопровождение традиционных мероприятий, связанных с поддержкой талантливых детей.</t>
  </si>
  <si>
    <t>Развитие инфраструктуры образовательных организаций: возврат ранее переданных зданий дошкольных образовательных организаций; строительство (реконструкция) и капитальный ремонт зданий образовательных организаций; реализация  планов действий по оптимизации сети образовательных организаций; проведение мероприятий по энергосбережению и повышению энергетической эффективности; формирование инфраструктуры услуги сопровождения раннего развития детей (в возрасте от 0 до 3 лет); улучшение материально-технической базы  образовательных организаций; улучшение материально-технической базы  образовательных организаций.</t>
  </si>
  <si>
    <t>Развитие кадрового потенциала системы дошкольного, общего и дополнительного образования детей: доведение средней заработной платы педагогических работников дошкольных образовательных организаций до средней заработной платы в общем образовании в Республике Карелия; доведение средней заработной платы педагогических работников общеобразовательных организаций до средней заработной платы в Республике Карелия; доведение средней заработной платы педагогических работников организаций дополнительного образования детей к средней заработной плате учителей в Республике Карелия; обеспечение качества подготовки специалистов общего образования и дополнительного образования детей через повышение квалификации и профессиональную  переподготовку; внедрение  персонифицированной модели повышения квалификации и профессиональной переподготовки педагогических работников; аттестация педагогических работников; внедрение профессионального стандарта «Педагог (педагогическая деятельность в сфере дошкольного, начального общего, основного общего, среднего общего образования) (воспитатель, учитель)»; внедрение методики оценки деятельности педагогических работников и руководителей образовательных организаций на основе показателей эффективности; организация конкурсных мероприятий по выявлению и поддержке лучших педагогических работников; поддержка молодых специалистов, отработавших учебный год в образовательных организациях, расположенных в сельской местности; реализация мер, направленных на усиление роли профессиональных объединений; формирование системы поддержки непрерывного профессионального развития педагогических работников и руководителей образовательных организаций; организация стажировок педагогических работников и руководителей образовательных организаций в ведущих образовательных организациях и создание условий для выявления и обмена лучшими практиками.</t>
  </si>
  <si>
    <t>Источники финансового обеспечения</t>
  </si>
  <si>
    <t xml:space="preserve">бюджет Республики Карелия </t>
  </si>
  <si>
    <t>Оценка расходов (тыс. руб.), годы</t>
  </si>
  <si>
    <t>бюджеты муниципальных образований</t>
  </si>
  <si>
    <t xml:space="preserve">государственные внебюджетные фонды Российской Федерации </t>
  </si>
  <si>
    <t xml:space="preserve">территориальные государственные внебюджетные фонды </t>
  </si>
  <si>
    <t xml:space="preserve">Подпрограмма 1 </t>
  </si>
  <si>
    <t xml:space="preserve">всего </t>
  </si>
  <si>
    <t xml:space="preserve">бюджеты муниципальных образований </t>
  </si>
  <si>
    <t>территориальные государственные внебюджетные фонды</t>
  </si>
  <si>
    <t xml:space="preserve">юридические лица </t>
  </si>
  <si>
    <t>Реализация образовательных программ начального общего, основного общего, среднего общего образования: внедрение федеральных государственных образовательных стандартов начального общего, основного общего и среднего (полного) общего образования; совершенствование содержания и технологий образования начального общего, основного общего, среднего общего образования; создание механизмов обеспечения равенства доступа к качественному образованию независимо от места жительства и социально-экономического статуса; создание условий для психолого-медико-педагогического сопровождения образования детей с ограниченными возможностями здоровья в общем образовании; развитие системы образовательных организаций, реализующих  федеральный государственный образовательный стандарт образования обучающихся с ограниченными возможностями здоровья; обновление учебно-методического обеспечения изучения родных языков и этнокультурных образовательных программ; внедрение инновационных методик интенсивного обучения родным  языкам; создание эффективной системы профориентации в рамках отдельных образовательных организаций и в рамках сетевого объединения образовательных организаций; осуществление государственных полномочий Республики Карелия по созданию и организации деятельности комиссий по делам несовершеннолетних и защите их прав через координирование деятельности органов местного самоуправления; мониторинг уровня подготовки и социализации школьников образовательными организациями; реализация мероприятий Комплекса мер по модернизации общего образования Республики Карелия  на 2013 год и на период до 2020 года, утвержденного постановлением Правительства Республики Карелия от 22 марта 2013 года № 104-П; реализация Концепции развития математического образования в Российской Федерации;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</t>
  </si>
  <si>
    <t>Развитие дополнительного персонального образования, формирование современных управленческих и организационно-экономических механизмов в системе дополнительного образования детей: создание  региональных ресурсных центров для методического обеспечения, организации дополнительного профессионального образования педагогов дополнительного образования и координации деятельности образовательных организаций, реализующих дополнительные общеобразовательные программы различной направленности; формирование и финансовое обеспечение государственных заданий на реализацию дополнительных общеобразовательных программ; содействие в реализации муниципальных планов (программ) развития системы дополнительного образования детей; обновление содержания и технологий дополнительного образования и воспитания детей; внедрение организациями дополнительного образования  вариативных форм получения услуг дополнительного образования (в сетевой форме, с использованием дистанционных образовательных технологий и других); формирование банка лучших дополнительных общеобразовательных программ, в том числе для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ситуации; методическое и информационное сопровождение традиционных мероприятий, связанных с поддержкой талантливых детей.</t>
  </si>
  <si>
    <t>Формирование и развитие системы оценки качества образования, в том числе поддержка и развитие инструментов оценки результатов обучения: обеспечение и проведение государственной аттестации обучающихся; создание условий для реализации инновационных проектов и программ, имеющих существенное значение для обеспечения развития системы образования; признание организаций региональными инновационными площадками; проведение самообследования, обеспечение функционирования внутренней системы оценки качества образования образовательными организациями; проведение независимой оценки качества образования; включение Республики Карелия в  федеральную единую унифицированную систему статистики образования; пополнение и обновление региональных банков данных контрольно-измерительных материалов по всем оценочным процедурам; участие Республики Карелия в разработке и экспертизе контрольно-измерительных материалов для проведения процедур внешней оценки; реализация мероприятий по оценке и контролю качества образования; использование результатов мониторинговых исследований для повышения качества образования и обеспечения эффективного управления образовательными системами; распространение форм оценки образовательных достижений обучающихся; разработка и реализация программ по повышению квалификации общественных управляющих (общественных и общественно-профессиональных экспертов); поддержка социально ориентированных  некоммерческих организаций (за исключением государственных и муниципальных учреждений), осуществляющих деятельность в сфере образования; развитие механизмов вовлеченности родителей в образование, общественного участия в управлении образованием; обеспечение информационной открытости деятельности образовательных организаций Республики Карелия на всех уровнях системы образования.</t>
  </si>
  <si>
    <t>Приложение 4 к государственной программе</t>
  </si>
  <si>
    <t>Основное мероприятие 1.1.1.1.0.</t>
  </si>
  <si>
    <t>Основное мероприятие 1.1.1.2.0.</t>
  </si>
  <si>
    <t>Основное мероприятие 1.1.2.1.0.</t>
  </si>
  <si>
    <t>Основное мероприятие 2.1.1.1.0.</t>
  </si>
  <si>
    <t>Основное мероприятие 2.1.1.2.0.</t>
  </si>
  <si>
    <t>Основное мероприятие 2.1.1.3.0.</t>
  </si>
  <si>
    <t>Основное мероприятие 2.1.1.4.0.</t>
  </si>
  <si>
    <t>Основное мероприятие 2.1.1.5.0.</t>
  </si>
  <si>
    <t xml:space="preserve">Основное мероприятие </t>
  </si>
  <si>
    <t>Основное мероприятие 2.1.2.1.0.</t>
  </si>
  <si>
    <t>Основное мероприятие 3.1.1.1.0.</t>
  </si>
  <si>
    <t xml:space="preserve">Основное мероприятие 1.1.2.2.0. </t>
  </si>
  <si>
    <t>средства бюджета Республики Карелия, за исключением целевых федеральных средств</t>
  </si>
  <si>
    <t xml:space="preserve">средства, поступающие в бюджет Республики Карелия  из федерального бюджета </t>
  </si>
  <si>
    <t xml:space="preserve">средства бюджета Республики Карелия, за исключением целевых федеральных средств </t>
  </si>
  <si>
    <t>средства, поступающие в бюджет Республики Карелия  из федерального бюджета</t>
  </si>
  <si>
    <t>безвозмездные поступления в бюджет Республики Карелия  от государственной корпорации – Фонда содействия реформированию ЖКХ</t>
  </si>
  <si>
    <t>безвозмездные поступления в бюджет Республики Карелия от государственной корпорации – Фонда содействия реформированию ЖКХ</t>
  </si>
  <si>
    <t xml:space="preserve">Финансовое обеспечение реализации государственной программы за счет средств бюджета Республики Карелия </t>
  </si>
  <si>
    <t>«Развитие профессионального образования»</t>
  </si>
  <si>
    <t>02 1 01 70300</t>
  </si>
  <si>
    <t>02 1 01 70310</t>
  </si>
  <si>
    <t>02 2 01 70320</t>
  </si>
  <si>
    <t>02 2 01 42030</t>
  </si>
  <si>
    <t>02 3 01 70390</t>
  </si>
  <si>
    <t>02 3 01 70380</t>
  </si>
  <si>
    <t>Х</t>
  </si>
  <si>
    <t>02 С 00 10900</t>
  </si>
  <si>
    <t>02 С 00 59900</t>
  </si>
  <si>
    <t>02 С 00 75080</t>
  </si>
  <si>
    <t>Министерство здравоохранения Республики Карелия</t>
  </si>
  <si>
    <t>02 1 04 42040</t>
  </si>
  <si>
    <t>02 2 01 42100</t>
  </si>
  <si>
    <t>02 2 01 70330</t>
  </si>
  <si>
    <t>02 2 01 70400</t>
  </si>
  <si>
    <t>02 1 03 70410</t>
  </si>
  <si>
    <t>02 1 04 70350</t>
  </si>
  <si>
    <t>02 2 01 42190</t>
  </si>
  <si>
    <t>02 2 01 43200</t>
  </si>
  <si>
    <t>02 2 01 70340</t>
  </si>
  <si>
    <t>02 2 03 70420</t>
  </si>
  <si>
    <t>Основное мероприятие 1.1.2.3.0</t>
  </si>
  <si>
    <t>07 03</t>
  </si>
  <si>
    <t>«Развитие общего образования. 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</si>
  <si>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«Совершенствование управления системой образования»</t>
  </si>
  <si>
    <t>«Развитие дополнительного образования детей»</t>
  </si>
  <si>
    <t>Подпрограмма 4</t>
  </si>
  <si>
    <t xml:space="preserve">Государственная программа </t>
  </si>
  <si>
    <t>Основное мероприятие 2.1.2.2.0</t>
  </si>
  <si>
    <t xml:space="preserve"> «Совершенствование управления системой образования»</t>
  </si>
  <si>
    <t>02 1 П1 76010</t>
  </si>
  <si>
    <t>02 2 02 R5380</t>
  </si>
  <si>
    <t xml:space="preserve">07 02 </t>
  </si>
  <si>
    <t>02 2 03 90420</t>
  </si>
  <si>
    <t>02 2 03 90400</t>
  </si>
  <si>
    <t>02 2 П2 R5200</t>
  </si>
  <si>
    <t>02 4 01 70370</t>
  </si>
  <si>
    <t>120, 240, 620</t>
  </si>
  <si>
    <t>02 2 01 70430</t>
  </si>
  <si>
    <t>02 3 02 R4980</t>
  </si>
  <si>
    <t>всего, в том числе</t>
  </si>
  <si>
    <t>Основное мероприятие 1.1.1.1.0</t>
  </si>
  <si>
    <t>Основное мероприятие 1.1.1.2.0</t>
  </si>
  <si>
    <t>Основное мероприятие 1.1.2.1.0</t>
  </si>
  <si>
    <t>Основное мероприятие 1.1.2.2.0</t>
  </si>
  <si>
    <t>Основное мероприятие 2.1.1.1.0</t>
  </si>
  <si>
    <t>Основное мероприятие 2.1.1.2.0</t>
  </si>
  <si>
    <t>Основное мероприятие 2.1.2.1.0</t>
  </si>
  <si>
    <t>Основное мероприятие 2.1.2.3.0</t>
  </si>
  <si>
    <t>реализация отдельных мероприятий приоритетного проекта Российской Федерации  «Современная цифровая образовательная среда в Российской Федерации»</t>
  </si>
  <si>
    <t>Основное мероприятие 3.1.2.1.0</t>
  </si>
  <si>
    <t>Основное мероприятие 3.1.1.1.0</t>
  </si>
  <si>
    <t>Мероприятие 3.1.2.1.1</t>
  </si>
  <si>
    <t>Мероприятие 3.1.2.1.2</t>
  </si>
  <si>
    <t>Мероприятие 3.1.2.1.3</t>
  </si>
  <si>
    <t>Мероприятие 3.1.2.1.4</t>
  </si>
  <si>
    <t>развитие национально-региональной системы независимой оценки качества общего образования через реализацию пилотных региональных  проектов и создание национальных механизмов оценки качества</t>
  </si>
  <si>
    <t>Наименование государственной программы, подпрограммы государственной программы, ведомственной, региональной, долгосрочной целевой программы, основного мероприятия и мероприятия</t>
  </si>
  <si>
    <t>Основное мероприятие 4.1.1.2.0</t>
  </si>
  <si>
    <t>безвозмездные поступления в бюджет Республики Карелия от государственной корпорации – Фонда содействия реформированию жилищно-коммунального хозяйства (далее – Фонд содействия реформированию ЖКХ)</t>
  </si>
  <si>
    <t>Основное мероприятие 4.1.1.1.0</t>
  </si>
  <si>
    <t>«Развитие образования» на 2014 – 2025 годы</t>
  </si>
  <si>
    <t>«Развитие образования»              на 2014 – 2025 годы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</si>
  <si>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 и юридических лиц и расходов на реализацию целей государственной программы Республики Карелия </t>
  </si>
  <si>
    <t>Основное мероприятие 2.1.2.4.0.</t>
  </si>
  <si>
    <t>».</t>
  </si>
  <si>
    <t>02 2 04 76040</t>
  </si>
  <si>
    <t>02 2 04 51590</t>
  </si>
  <si>
    <t>02 1 04 76030</t>
  </si>
  <si>
    <t>02 2 03 R0970</t>
  </si>
  <si>
    <t xml:space="preserve">                                                                                                                                             «Приложение 4 к государственной программе</t>
  </si>
  <si>
    <t xml:space="preserve">10) приложение 4  изложить в следующей редакции: </t>
  </si>
  <si>
    <r>
      <t>Министерство строительства, жилищно-коммунального хозяйства и энергетики Республики Карелия</t>
    </r>
    <r>
      <rPr>
        <sz val="10"/>
        <rFont val="Calibri"/>
        <family val="2"/>
        <charset val="204"/>
      </rPr>
      <t>*</t>
    </r>
  </si>
  <si>
    <t>реализация образовательных программ среднего профессионального образования</t>
  </si>
  <si>
    <t>модернизация инфраструктуры среднего профессионального  и дополнительного профессионального образования</t>
  </si>
  <si>
    <t xml:space="preserve">реализация дополнительных профессиональных программ, основных программ профессионального обучения </t>
  </si>
  <si>
    <t>развитие кадрового потенциала системы образования</t>
  </si>
  <si>
    <t xml:space="preserve">реализация отдельных мероприятий приоритетного проекта Российской Федерации «Подготовка высококвалифицированных специалистов и рабочих кадров с учетом современных стандартов и передовых технологий» </t>
  </si>
  <si>
    <t>реализация образовательных программ дошкольного, начального общего, основного общего и среднего общего образования, осуществление присмотра и ухода за детьми</t>
  </si>
  <si>
    <t xml:space="preserve">повышение качества образования в общеобразовательных организациях путем реализации региональных проектов </t>
  </si>
  <si>
    <t xml:space="preserve">модернизация инфраструктуры общего образования </t>
  </si>
  <si>
    <t>реализация отдельных мероприятий приоритетного проекта Российской Федерации  «Создание современной образовательной среды для школьников»</t>
  </si>
  <si>
    <t xml:space="preserve">создание дополнительных мест для детей в возрасте от двух месяцев до трех лет в организациях, реализующих программы дошкольного образования 
</t>
  </si>
  <si>
    <t>проведение государственной итоговой аттестации обучающихся, включая мониторинговые исследования качества образования, оценку и контроль качества образования</t>
  </si>
  <si>
    <t>реализация механизмов общественного участия в повышении качества образования</t>
  </si>
  <si>
    <t>проведение независимой оценки качества образования</t>
  </si>
  <si>
    <t>поддержка социально ориентированных некоммерческих организаций, осуществляющих деятельность в сфере образования</t>
  </si>
  <si>
    <t>признание организаций, осуществляющих образовательную деятельность, и иных действующих в сфере образования организаций региональными инновационными площадками</t>
  </si>
  <si>
    <t xml:space="preserve">реализация дополнительных общеобразовательных программ </t>
  </si>
  <si>
    <t>реализация отдельных мероприятий приоритетного проекта Российской Федерации  «Доступное дополнительное образование для детей»</t>
  </si>
  <si>
    <t>«Приложение 5 к государственной программе</t>
  </si>
  <si>
    <t xml:space="preserve">создание дополнительных мест для детей в возрасте от двух месяцев до трех лет в организациях, реализующих программы дошкольного образования </t>
  </si>
  <si>
    <t>обеспечение реализации государственной программы</t>
  </si>
  <si>
    <t xml:space="preserve">11) приложение 5  изложить в следующей редакции: </t>
  </si>
  <si>
    <t>2. Действие настоящего постановления распространяется на правоотношения, возникшие с 1 января 2018 года.</t>
  </si>
  <si>
    <t xml:space="preserve">                                       Глава Республики Карелия                                                                                                          А.О. Парфенчиков</t>
  </si>
  <si>
    <t>* Бюджетные ассигнования на софинансирование  мероприятий по содействию созданию в субъектах Российской Федерации новых мест в общеобразовательных организациях  в соответствии с Законом  Республики Карелия «О бюджете Республики Карелия на 2018 год и на плановый период 2019 и 2020 годов» предусмотрены в бюджете Республики Карелия на 2019 год в объеме 66 619,0 тыс. рублей, на 2020 год – 111 351,080 тыс.  рублей (выписка из Закона Республики Карелия «О бюджете Республики Карелия на 2018 год и на плановый период 2019 и 2020 годов», представленная Министерством финансов Республики Карелия) (с учетом средств субсидии из федерального бюджета, выделяемых в рамках реализации мероприятий федеральной целевой программы «Развитие Республики Карелия на период до 2020 года»).»;</t>
  </si>
  <si>
    <t>110, 240, 610, 850</t>
  </si>
  <si>
    <t>120, 240, 850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</si>
</sst>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50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vertical="top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6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4" fontId="2" fillId="2" borderId="0" xfId="0" applyNumberFormat="1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4" fontId="4" fillId="2" borderId="0" xfId="0" applyNumberFormat="1" applyFont="1" applyFill="1" applyAlignment="1">
      <alignment vertical="top"/>
    </xf>
    <xf numFmtId="0" fontId="6" fillId="2" borderId="0" xfId="0" applyFont="1" applyFill="1"/>
    <xf numFmtId="0" fontId="15" fillId="2" borderId="0" xfId="0" applyFont="1" applyFill="1" applyAlignment="1">
      <alignment vertical="top"/>
    </xf>
    <xf numFmtId="0" fontId="8" fillId="2" borderId="0" xfId="2" applyFont="1" applyFill="1"/>
    <xf numFmtId="0" fontId="9" fillId="2" borderId="0" xfId="2" applyFont="1" applyFill="1"/>
    <xf numFmtId="4" fontId="9" fillId="2" borderId="0" xfId="2" applyNumberFormat="1" applyFont="1" applyFill="1"/>
    <xf numFmtId="4" fontId="12" fillId="2" borderId="0" xfId="2" applyNumberFormat="1" applyFont="1" applyFill="1"/>
    <xf numFmtId="0" fontId="12" fillId="2" borderId="0" xfId="2" applyFont="1" applyFill="1"/>
    <xf numFmtId="4" fontId="8" fillId="2" borderId="0" xfId="2" applyNumberFormat="1" applyFont="1" applyFill="1"/>
    <xf numFmtId="0" fontId="2" fillId="2" borderId="0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vertical="top" wrapText="1"/>
    </xf>
    <xf numFmtId="0" fontId="11" fillId="2" borderId="0" xfId="2" applyFont="1" applyFill="1" applyBorder="1" applyAlignment="1">
      <alignment vertical="top" wrapText="1"/>
    </xf>
    <xf numFmtId="0" fontId="13" fillId="2" borderId="0" xfId="2" applyFont="1" applyFill="1"/>
    <xf numFmtId="0" fontId="13" fillId="2" borderId="0" xfId="2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/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vertical="center"/>
    </xf>
    <xf numFmtId="4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top" wrapText="1"/>
    </xf>
    <xf numFmtId="0" fontId="11" fillId="2" borderId="0" xfId="2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2" fillId="2" borderId="1" xfId="2" applyFont="1" applyFill="1" applyBorder="1" applyAlignment="1">
      <alignment vertical="top" wrapText="1"/>
    </xf>
    <xf numFmtId="0" fontId="2" fillId="2" borderId="1" xfId="2" applyFont="1" applyFill="1" applyBorder="1" applyAlignment="1">
      <alignment horizontal="center" vertical="center" wrapText="1"/>
    </xf>
    <xf numFmtId="0" fontId="2" fillId="4" borderId="0" xfId="0" applyFont="1" applyFill="1"/>
    <xf numFmtId="0" fontId="8" fillId="2" borderId="0" xfId="2" applyFont="1" applyFill="1" applyAlignment="1">
      <alignment vertical="center"/>
    </xf>
    <xf numFmtId="4" fontId="2" fillId="2" borderId="1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 wrapText="1"/>
    </xf>
    <xf numFmtId="2" fontId="2" fillId="2" borderId="0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 wrapText="1"/>
    </xf>
    <xf numFmtId="2" fontId="11" fillId="2" borderId="0" xfId="2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Border="1" applyAlignment="1">
      <alignment vertical="center"/>
    </xf>
    <xf numFmtId="0" fontId="8" fillId="2" borderId="0" xfId="2" applyFont="1" applyFill="1" applyBorder="1"/>
    <xf numFmtId="4" fontId="9" fillId="2" borderId="0" xfId="2" applyNumberFormat="1" applyFont="1" applyFill="1" applyBorder="1"/>
    <xf numFmtId="4" fontId="18" fillId="0" borderId="0" xfId="0" applyNumberFormat="1" applyFont="1" applyBorder="1" applyAlignment="1">
      <alignment horizontal="center" vertical="center" wrapText="1"/>
    </xf>
    <xf numFmtId="4" fontId="8" fillId="2" borderId="0" xfId="2" applyNumberFormat="1" applyFont="1" applyFill="1" applyBorder="1"/>
    <xf numFmtId="4" fontId="12" fillId="2" borderId="0" xfId="2" applyNumberFormat="1" applyFont="1" applyFill="1" applyBorder="1"/>
    <xf numFmtId="0" fontId="12" fillId="2" borderId="0" xfId="2" applyFont="1" applyFill="1" applyBorder="1"/>
    <xf numFmtId="0" fontId="18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top"/>
    </xf>
    <xf numFmtId="0" fontId="6" fillId="2" borderId="0" xfId="0" applyFont="1" applyFill="1" applyBorder="1"/>
    <xf numFmtId="4" fontId="2" fillId="2" borderId="0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vertical="top"/>
    </xf>
    <xf numFmtId="0" fontId="20" fillId="2" borderId="0" xfId="0" applyFont="1" applyFill="1" applyAlignment="1">
      <alignment vertical="top"/>
    </xf>
    <xf numFmtId="4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" fillId="2" borderId="1" xfId="2" applyFont="1" applyFill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2" fontId="11" fillId="2" borderId="0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top"/>
    </xf>
    <xf numFmtId="2" fontId="11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top"/>
    </xf>
    <xf numFmtId="0" fontId="21" fillId="2" borderId="0" xfId="2" applyFont="1" applyFill="1" applyBorder="1" applyAlignment="1">
      <alignment vertical="top"/>
    </xf>
    <xf numFmtId="0" fontId="21" fillId="2" borderId="0" xfId="2" applyFont="1" applyFill="1" applyBorder="1" applyAlignment="1">
      <alignment vertical="top" wrapText="1"/>
    </xf>
    <xf numFmtId="0" fontId="21" fillId="2" borderId="0" xfId="2" applyFont="1" applyFill="1" applyBorder="1" applyAlignment="1">
      <alignment vertical="center" wrapText="1"/>
    </xf>
    <xf numFmtId="2" fontId="21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4" fontId="2" fillId="2" borderId="2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top"/>
    </xf>
    <xf numFmtId="0" fontId="11" fillId="2" borderId="0" xfId="0" applyFont="1" applyFill="1" applyBorder="1" applyAlignment="1">
      <alignment horizontal="center" vertical="top"/>
    </xf>
    <xf numFmtId="0" fontId="2" fillId="2" borderId="1" xfId="2" applyFont="1" applyFill="1" applyBorder="1" applyAlignment="1">
      <alignment vertical="top" wrapText="1"/>
    </xf>
    <xf numFmtId="0" fontId="2" fillId="2" borderId="2" xfId="2" applyFont="1" applyFill="1" applyBorder="1" applyAlignment="1">
      <alignment horizontal="left" vertical="top" wrapText="1"/>
    </xf>
    <xf numFmtId="0" fontId="2" fillId="2" borderId="8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left" vertical="top" wrapText="1"/>
    </xf>
    <xf numFmtId="0" fontId="2" fillId="2" borderId="10" xfId="2" applyFont="1" applyFill="1" applyBorder="1" applyAlignment="1">
      <alignment vertical="top" wrapText="1"/>
    </xf>
    <xf numFmtId="0" fontId="2" fillId="2" borderId="12" xfId="2" applyFont="1" applyFill="1" applyBorder="1" applyAlignment="1">
      <alignment vertical="top" wrapText="1"/>
    </xf>
    <xf numFmtId="0" fontId="2" fillId="2" borderId="2" xfId="2" applyFont="1" applyFill="1" applyBorder="1" applyAlignment="1">
      <alignment vertical="top" wrapText="1"/>
    </xf>
    <xf numFmtId="0" fontId="2" fillId="2" borderId="8" xfId="2" applyFont="1" applyFill="1" applyBorder="1" applyAlignment="1">
      <alignment vertical="top" wrapText="1"/>
    </xf>
    <xf numFmtId="0" fontId="2" fillId="2" borderId="6" xfId="2" applyFont="1" applyFill="1" applyBorder="1" applyAlignment="1">
      <alignment vertical="top" wrapText="1"/>
    </xf>
    <xf numFmtId="0" fontId="2" fillId="2" borderId="2" xfId="2" applyNumberFormat="1" applyFont="1" applyFill="1" applyBorder="1" applyAlignment="1">
      <alignment horizontal="left" vertical="top" wrapText="1"/>
    </xf>
    <xf numFmtId="0" fontId="2" fillId="2" borderId="8" xfId="2" applyNumberFormat="1" applyFont="1" applyFill="1" applyBorder="1" applyAlignment="1">
      <alignment horizontal="left" vertical="top" wrapText="1"/>
    </xf>
    <xf numFmtId="0" fontId="2" fillId="2" borderId="6" xfId="2" applyNumberFormat="1" applyFont="1" applyFill="1" applyBorder="1" applyAlignment="1">
      <alignment horizontal="left" vertical="top" wrapText="1"/>
    </xf>
    <xf numFmtId="0" fontId="2" fillId="2" borderId="0" xfId="2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top" wrapText="1"/>
    </xf>
    <xf numFmtId="0" fontId="2" fillId="2" borderId="11" xfId="2" applyFont="1" applyFill="1" applyBorder="1" applyAlignment="1">
      <alignment horizontal="center" vertical="top" wrapText="1"/>
    </xf>
    <xf numFmtId="0" fontId="2" fillId="2" borderId="12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vertical="top" wrapText="1"/>
    </xf>
    <xf numFmtId="0" fontId="2" fillId="2" borderId="10" xfId="2" applyFont="1" applyFill="1" applyBorder="1" applyAlignment="1">
      <alignment horizontal="left" vertical="top" wrapText="1"/>
    </xf>
    <xf numFmtId="0" fontId="2" fillId="2" borderId="12" xfId="2" applyFont="1" applyFill="1" applyBorder="1" applyAlignment="1">
      <alignment horizontal="left" vertical="top" wrapText="1"/>
    </xf>
    <xf numFmtId="0" fontId="5" fillId="2" borderId="7" xfId="2" applyNumberFormat="1" applyFont="1" applyFill="1" applyBorder="1" applyAlignment="1">
      <alignment horizontal="center" vertical="top" wrapText="1"/>
    </xf>
    <xf numFmtId="0" fontId="2" fillId="2" borderId="2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 wrapText="1"/>
    </xf>
    <xf numFmtId="0" fontId="20" fillId="2" borderId="0" xfId="2" applyFont="1" applyFill="1" applyAlignment="1">
      <alignment horizontal="left" vertical="top"/>
    </xf>
    <xf numFmtId="0" fontId="20" fillId="2" borderId="0" xfId="2" applyFont="1" applyFill="1" applyAlignment="1">
      <alignment horizontal="right" vertical="top"/>
    </xf>
    <xf numFmtId="0" fontId="2" fillId="2" borderId="22" xfId="2" applyFont="1" applyFill="1" applyBorder="1" applyAlignment="1">
      <alignment horizontal="left" vertical="top" wrapText="1"/>
    </xf>
    <xf numFmtId="0" fontId="2" fillId="2" borderId="19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/>
    </xf>
    <xf numFmtId="0" fontId="11" fillId="2" borderId="0" xfId="2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main\&#1054;&#1090;&#1076;&#1077;&#1083;%20&#1101;&#1082;&#1086;&#1085;&#1086;&#1084;&#1080;&#1082;&#1080;\&#1054;&#1050;&#1057;&#1040;&#1053;&#1040;\&#1043;&#1054;&#1057;&#1055;&#1056;&#1054;&#1043;&#1056;&#1040;&#1052;&#1052;&#1040;\&#1083;&#1089;&#1095;%20&#1085;&#1072;%2011.05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main\&#1054;&#1090;&#1076;&#1077;&#1083;%20&#1101;&#1082;&#1086;&#1085;&#1086;&#1084;&#1080;&#1082;&#1080;\&#1054;&#1050;&#1057;&#1040;&#1053;&#1040;\&#1043;&#1054;&#1057;&#1055;&#1056;&#1054;&#1043;&#1056;&#1040;&#1052;&#1052;&#1040;\&#1087;&#1088;&#1080;&#1083;&#1086;&#1078;&#1077;&#1085;&#1080;&#1077;.4,5%20&#1074;&#1072;&#1088;&#1080;&#1072;&#1085;&#1090;%202%20&#1089;%20&#1088;&#1086;&#1089;&#1087;&#1080;&#1089;&#1100;%20&#1085;&#1072;%2011.05.2018%20+%20&#1087;&#1086;&#1087;&#1088;&#1072;&#1074;&#1082;&#1080;%20&#1074;%20&#1079;&#1072;&#1082;&#1086;&#1085;+&#1052;&#1047;%20380%20&#108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  <sheetName val="Заголовок"/>
      <sheetName val="Подписи"/>
      <sheetName val="Лист1"/>
    </sheetNames>
    <sheetDataSet>
      <sheetData sheetId="0"/>
      <sheetData sheetId="1"/>
      <sheetData sheetId="2"/>
      <sheetData sheetId="3">
        <row r="7">
          <cell r="H7">
            <v>229710300</v>
          </cell>
        </row>
        <row r="8">
          <cell r="H8">
            <v>7882200</v>
          </cell>
        </row>
        <row r="9">
          <cell r="H9">
            <v>12173200</v>
          </cell>
        </row>
        <row r="10">
          <cell r="H10">
            <v>10664600</v>
          </cell>
        </row>
        <row r="11">
          <cell r="H11">
            <v>20217200</v>
          </cell>
        </row>
        <row r="12">
          <cell r="H12">
            <v>320343600</v>
          </cell>
        </row>
        <row r="13">
          <cell r="H13">
            <v>4431400</v>
          </cell>
        </row>
        <row r="14">
          <cell r="H14">
            <v>18579600</v>
          </cell>
        </row>
        <row r="15">
          <cell r="H15">
            <v>5146600</v>
          </cell>
        </row>
        <row r="16">
          <cell r="H16">
            <v>24929600</v>
          </cell>
        </row>
        <row r="17">
          <cell r="H17">
            <v>800000</v>
          </cell>
        </row>
        <row r="19">
          <cell r="M19">
            <v>23951300</v>
          </cell>
        </row>
        <row r="40">
          <cell r="I40">
            <v>520000</v>
          </cell>
        </row>
        <row r="61">
          <cell r="M61">
            <v>271746000</v>
          </cell>
        </row>
        <row r="80">
          <cell r="M80">
            <v>26974000</v>
          </cell>
        </row>
        <row r="99">
          <cell r="M99">
            <v>5837357000</v>
          </cell>
        </row>
        <row r="137">
          <cell r="M137">
            <v>288267000</v>
          </cell>
        </row>
        <row r="138">
          <cell r="M138">
            <v>32941700</v>
          </cell>
        </row>
        <row r="147">
          <cell r="M147">
            <v>320732900</v>
          </cell>
        </row>
        <row r="148">
          <cell r="M148">
            <v>10953100</v>
          </cell>
        </row>
        <row r="149">
          <cell r="M149">
            <v>4012500</v>
          </cell>
        </row>
        <row r="151">
          <cell r="M151">
            <v>1111600</v>
          </cell>
        </row>
        <row r="152">
          <cell r="M152">
            <v>35365200</v>
          </cell>
        </row>
        <row r="154">
          <cell r="M154">
            <v>24916600</v>
          </cell>
        </row>
        <row r="155">
          <cell r="M155">
            <v>26384700</v>
          </cell>
        </row>
        <row r="156">
          <cell r="M156">
            <v>6433900</v>
          </cell>
        </row>
        <row r="158">
          <cell r="M158">
            <v>45997500</v>
          </cell>
        </row>
        <row r="165">
          <cell r="M165">
            <v>45197000</v>
          </cell>
        </row>
        <row r="171">
          <cell r="M171">
            <v>5418900</v>
          </cell>
        </row>
        <row r="187">
          <cell r="M187">
            <v>45650200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Приложение 4 "/>
      <sheetName val="Приложение 5"/>
      <sheetName val="Лист1"/>
    </sheetNames>
    <sheetDataSet>
      <sheetData sheetId="0">
        <row r="18">
          <cell r="L18">
            <v>783724.6</v>
          </cell>
          <cell r="M18">
            <v>646275.89999999991</v>
          </cell>
          <cell r="N18">
            <v>616810.10000000009</v>
          </cell>
        </row>
        <row r="30">
          <cell r="L30">
            <v>23951.3</v>
          </cell>
          <cell r="M30">
            <v>19306.7</v>
          </cell>
          <cell r="N30">
            <v>18669.400000000001</v>
          </cell>
        </row>
        <row r="31">
          <cell r="L31">
            <v>91655</v>
          </cell>
          <cell r="M31">
            <v>81000</v>
          </cell>
          <cell r="N31">
            <v>76500</v>
          </cell>
        </row>
        <row r="44">
          <cell r="L44">
            <v>11770</v>
          </cell>
          <cell r="M44">
            <v>0</v>
          </cell>
          <cell r="N44">
            <v>0</v>
          </cell>
        </row>
        <row r="49">
          <cell r="L49">
            <v>6792984.2000000002</v>
          </cell>
          <cell r="M49">
            <v>5559332.7000000002</v>
          </cell>
          <cell r="N49">
            <v>5256141.6999999993</v>
          </cell>
        </row>
        <row r="102">
          <cell r="L102">
            <v>32818.6</v>
          </cell>
        </row>
        <row r="119">
          <cell r="L119">
            <v>45997.5</v>
          </cell>
        </row>
        <row r="124">
          <cell r="L124">
            <v>45197</v>
          </cell>
        </row>
        <row r="125">
          <cell r="L125">
            <v>5418.9</v>
          </cell>
        </row>
        <row r="126">
          <cell r="L126">
            <v>45650.2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36"/>
  <sheetViews>
    <sheetView view="pageBreakPreview" topLeftCell="A120" zoomScale="60" zoomScaleNormal="100" workbookViewId="0">
      <selection activeCell="G128" sqref="G128"/>
    </sheetView>
  </sheetViews>
  <sheetFormatPr defaultColWidth="9.140625" defaultRowHeight="12.75" x14ac:dyDescent="0.2"/>
  <cols>
    <col min="1" max="1" width="14.85546875" style="67" customWidth="1"/>
    <col min="2" max="2" width="32.5703125" style="68" customWidth="1"/>
    <col min="3" max="3" width="22.5703125" style="42" customWidth="1"/>
    <col min="4" max="5" width="9.28515625" style="60" bestFit="1" customWidth="1"/>
    <col min="6" max="6" width="13.42578125" style="60" customWidth="1"/>
    <col min="7" max="7" width="9.28515625" style="60" bestFit="1" customWidth="1"/>
    <col min="8" max="8" width="12.5703125" style="60" customWidth="1"/>
    <col min="9" max="9" width="11.85546875" style="60" customWidth="1"/>
    <col min="10" max="10" width="12.28515625" style="60" customWidth="1"/>
    <col min="11" max="11" width="12.5703125" style="60" customWidth="1"/>
    <col min="12" max="12" width="15.42578125" style="98" customWidth="1"/>
    <col min="13" max="13" width="13.5703125" style="81" customWidth="1"/>
    <col min="14" max="14" width="12.85546875" style="98" customWidth="1"/>
    <col min="15" max="15" width="11.140625" style="79" customWidth="1"/>
    <col min="16" max="16" width="11.7109375" style="80" customWidth="1"/>
    <col min="17" max="17" width="11.140625" style="80" customWidth="1"/>
    <col min="18" max="18" width="11.7109375" style="80" customWidth="1"/>
    <col min="19" max="19" width="9.85546875" style="33" customWidth="1"/>
    <col min="20" max="20" width="11.140625" style="42" bestFit="1" customWidth="1"/>
    <col min="21" max="21" width="15.7109375" style="42" customWidth="1"/>
    <col min="22" max="22" width="17.42578125" style="42" customWidth="1"/>
    <col min="23" max="23" width="15.85546875" style="42" customWidth="1"/>
    <col min="24" max="24" width="9.140625" style="42"/>
    <col min="25" max="25" width="15" style="42" customWidth="1"/>
    <col min="26" max="26" width="17.5703125" style="42" customWidth="1"/>
    <col min="27" max="16384" width="9.140625" style="42"/>
  </cols>
  <sheetData>
    <row r="1" spans="1:26" ht="34.5" customHeight="1" x14ac:dyDescent="0.2">
      <c r="A1" s="173" t="s">
        <v>201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67"/>
      <c r="P1" s="167"/>
      <c r="Q1" s="167"/>
      <c r="R1" s="167"/>
    </row>
    <row r="2" spans="1:26" ht="34.5" customHeight="1" x14ac:dyDescent="0.2">
      <c r="A2" s="138"/>
      <c r="B2" s="138"/>
      <c r="C2" s="138"/>
      <c r="D2" s="138"/>
      <c r="E2" s="138"/>
      <c r="F2" s="138"/>
      <c r="G2" s="138"/>
      <c r="H2" s="138"/>
      <c r="I2" s="139" t="s">
        <v>200</v>
      </c>
      <c r="J2" s="139"/>
      <c r="K2" s="139"/>
      <c r="L2" s="139"/>
      <c r="M2" s="139"/>
      <c r="N2" s="139"/>
      <c r="O2" s="140"/>
      <c r="P2" s="140"/>
      <c r="Q2" s="141"/>
      <c r="R2" s="141"/>
      <c r="S2" s="142"/>
    </row>
    <row r="3" spans="1:26" ht="25.5" customHeight="1" x14ac:dyDescent="0.3">
      <c r="B3" s="168" t="s">
        <v>128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5" spans="1:26" ht="73.5" customHeight="1" x14ac:dyDescent="0.2">
      <c r="A5" s="169" t="s">
        <v>1</v>
      </c>
      <c r="B5" s="169" t="s">
        <v>187</v>
      </c>
      <c r="C5" s="169" t="s">
        <v>3</v>
      </c>
      <c r="D5" s="170" t="s">
        <v>4</v>
      </c>
      <c r="E5" s="171"/>
      <c r="F5" s="171"/>
      <c r="G5" s="172"/>
      <c r="H5" s="170" t="s">
        <v>5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2"/>
      <c r="X5" s="61"/>
      <c r="Y5" s="61"/>
      <c r="Z5" s="61"/>
    </row>
    <row r="6" spans="1:26" ht="21.75" customHeight="1" x14ac:dyDescent="0.2">
      <c r="A6" s="169"/>
      <c r="B6" s="169"/>
      <c r="C6" s="169"/>
      <c r="D6" s="97" t="s">
        <v>6</v>
      </c>
      <c r="E6" s="97" t="s">
        <v>7</v>
      </c>
      <c r="F6" s="97" t="s">
        <v>8</v>
      </c>
      <c r="G6" s="97" t="s">
        <v>9</v>
      </c>
      <c r="H6" s="97">
        <v>2014</v>
      </c>
      <c r="I6" s="97">
        <v>2015</v>
      </c>
      <c r="J6" s="97">
        <v>2016</v>
      </c>
      <c r="K6" s="97">
        <v>2017</v>
      </c>
      <c r="L6" s="44">
        <v>2018</v>
      </c>
      <c r="M6" s="44">
        <v>2019</v>
      </c>
      <c r="N6" s="44">
        <v>2020</v>
      </c>
      <c r="O6" s="44">
        <v>2021</v>
      </c>
      <c r="P6" s="44">
        <v>2022</v>
      </c>
      <c r="Q6" s="44">
        <v>2023</v>
      </c>
      <c r="R6" s="44">
        <v>2024</v>
      </c>
      <c r="S6" s="44">
        <v>2025</v>
      </c>
      <c r="T6" s="43"/>
      <c r="U6" s="43"/>
      <c r="V6" s="43"/>
      <c r="X6" s="61"/>
      <c r="Y6" s="112"/>
      <c r="Z6" s="112"/>
    </row>
    <row r="7" spans="1:26" ht="15.75" x14ac:dyDescent="0.2">
      <c r="A7" s="83">
        <v>1</v>
      </c>
      <c r="B7" s="69">
        <v>2</v>
      </c>
      <c r="C7" s="85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  <c r="R7" s="97">
        <v>18</v>
      </c>
      <c r="S7" s="97">
        <v>19</v>
      </c>
      <c r="U7" s="43"/>
      <c r="V7" s="43"/>
      <c r="X7" s="61"/>
      <c r="Y7" s="112"/>
      <c r="Z7" s="112"/>
    </row>
    <row r="8" spans="1:26" ht="21" customHeight="1" x14ac:dyDescent="0.2">
      <c r="A8" s="174" t="s">
        <v>10</v>
      </c>
      <c r="B8" s="174" t="s">
        <v>191</v>
      </c>
      <c r="C8" s="84" t="s">
        <v>170</v>
      </c>
      <c r="D8" s="97" t="s">
        <v>13</v>
      </c>
      <c r="E8" s="97" t="s">
        <v>13</v>
      </c>
      <c r="F8" s="97" t="s">
        <v>13</v>
      </c>
      <c r="G8" s="97" t="s">
        <v>13</v>
      </c>
      <c r="H8" s="1">
        <f t="shared" ref="H8:J8" si="0">SUM(H9:H13)</f>
        <v>7509925.2197900005</v>
      </c>
      <c r="I8" s="1">
        <f t="shared" si="0"/>
        <v>6819704.7632200001</v>
      </c>
      <c r="J8" s="1">
        <f t="shared" si="0"/>
        <v>6846195.7999999998</v>
      </c>
      <c r="K8" s="1">
        <f>SUM(K9:K13)</f>
        <v>7629965.7399999984</v>
      </c>
      <c r="L8" s="1">
        <f>SUM(L9:L13)</f>
        <v>8210232.9999999991</v>
      </c>
      <c r="M8" s="1">
        <f>SUM(M9:M13)</f>
        <v>7756585.3000000007</v>
      </c>
      <c r="N8" s="1">
        <f>SUM(N9:N13)</f>
        <v>7317748.9999999981</v>
      </c>
      <c r="O8" s="1">
        <f t="shared" ref="O8:S8" si="1">SUM(O9:O13)</f>
        <v>0</v>
      </c>
      <c r="P8" s="1">
        <f t="shared" si="1"/>
        <v>0</v>
      </c>
      <c r="Q8" s="1">
        <f t="shared" si="1"/>
        <v>0</v>
      </c>
      <c r="R8" s="1">
        <f t="shared" si="1"/>
        <v>0</v>
      </c>
      <c r="S8" s="1">
        <f t="shared" si="1"/>
        <v>0</v>
      </c>
      <c r="T8" s="46"/>
      <c r="U8" s="46"/>
      <c r="V8" s="46"/>
      <c r="W8" s="46"/>
      <c r="X8" s="120"/>
      <c r="Y8" s="112"/>
      <c r="Z8" s="116"/>
    </row>
    <row r="9" spans="1:26" ht="39.75" customHeight="1" x14ac:dyDescent="0.2">
      <c r="A9" s="174"/>
      <c r="B9" s="174"/>
      <c r="C9" s="84" t="s">
        <v>14</v>
      </c>
      <c r="D9" s="97">
        <v>801</v>
      </c>
      <c r="E9" s="97" t="s">
        <v>13</v>
      </c>
      <c r="F9" s="97" t="s">
        <v>13</v>
      </c>
      <c r="G9" s="97" t="s">
        <v>13</v>
      </c>
      <c r="H9" s="1">
        <f>H15+H48+H103+H118</f>
        <v>7402590.1197900008</v>
      </c>
      <c r="I9" s="1">
        <f>I15+I48+I103+I118</f>
        <v>6693495.3632199997</v>
      </c>
      <c r="J9" s="1">
        <f>J15+J48+J103+J118+J125</f>
        <v>6701128.2999999998</v>
      </c>
      <c r="K9" s="1">
        <f>K15+K48+K103+K118+K125</f>
        <v>7535817.4399999985</v>
      </c>
      <c r="L9" s="1">
        <f>L15+L48+L103+L118+L125</f>
        <v>7970306.6999999993</v>
      </c>
      <c r="M9" s="1">
        <f>M15+M48+M103+M118+M125</f>
        <v>6739190.3000000007</v>
      </c>
      <c r="N9" s="1">
        <f>N15+N48+N103+N118+N125</f>
        <v>6035807.3999999985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43"/>
      <c r="U9" s="43"/>
      <c r="V9" s="43"/>
      <c r="X9" s="61"/>
      <c r="Y9" s="112"/>
      <c r="Z9" s="112"/>
    </row>
    <row r="10" spans="1:26" ht="42.75" customHeight="1" x14ac:dyDescent="0.2">
      <c r="A10" s="174"/>
      <c r="B10" s="174"/>
      <c r="C10" s="84" t="s">
        <v>140</v>
      </c>
      <c r="D10" s="97">
        <v>800</v>
      </c>
      <c r="E10" s="97" t="s">
        <v>13</v>
      </c>
      <c r="F10" s="97" t="s">
        <v>13</v>
      </c>
      <c r="G10" s="97" t="s">
        <v>13</v>
      </c>
      <c r="H10" s="1">
        <f>H16</f>
        <v>50689.1</v>
      </c>
      <c r="I10" s="1">
        <f t="shared" ref="I10:K11" si="2">I16</f>
        <v>41269.9</v>
      </c>
      <c r="J10" s="1">
        <f t="shared" si="2"/>
        <v>40914</v>
      </c>
      <c r="K10" s="1">
        <f t="shared" si="2"/>
        <v>42165.7</v>
      </c>
      <c r="L10" s="1">
        <f>L16</f>
        <v>60732.1</v>
      </c>
      <c r="M10" s="1">
        <v>26578.2</v>
      </c>
      <c r="N10" s="1">
        <v>9084.7999999999993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U10" s="43"/>
      <c r="V10" s="43"/>
      <c r="X10" s="61"/>
      <c r="Y10" s="112"/>
      <c r="Z10" s="112"/>
    </row>
    <row r="11" spans="1:26" ht="27.75" customHeight="1" x14ac:dyDescent="0.2">
      <c r="A11" s="174"/>
      <c r="B11" s="174"/>
      <c r="C11" s="84" t="s">
        <v>19</v>
      </c>
      <c r="D11" s="97">
        <v>802</v>
      </c>
      <c r="E11" s="97" t="s">
        <v>13</v>
      </c>
      <c r="F11" s="97" t="s">
        <v>13</v>
      </c>
      <c r="G11" s="97" t="s">
        <v>13</v>
      </c>
      <c r="H11" s="1">
        <f>H17</f>
        <v>56596</v>
      </c>
      <c r="I11" s="1">
        <f t="shared" si="2"/>
        <v>54197</v>
      </c>
      <c r="J11" s="1">
        <f t="shared" si="2"/>
        <v>53846</v>
      </c>
      <c r="K11" s="1">
        <f t="shared" si="2"/>
        <v>51982.6</v>
      </c>
      <c r="L11" s="1">
        <f>L17</f>
        <v>68494.2</v>
      </c>
      <c r="M11" s="1">
        <v>49458</v>
      </c>
      <c r="N11" s="1">
        <v>47232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U11" s="43"/>
      <c r="V11" s="43"/>
      <c r="X11" s="61"/>
      <c r="Y11" s="112"/>
      <c r="Z11" s="112"/>
    </row>
    <row r="12" spans="1:26" ht="57" customHeight="1" x14ac:dyDescent="0.2">
      <c r="A12" s="174"/>
      <c r="B12" s="174"/>
      <c r="C12" s="92" t="s">
        <v>20</v>
      </c>
      <c r="D12" s="93">
        <v>814</v>
      </c>
      <c r="E12" s="93" t="s">
        <v>13</v>
      </c>
      <c r="F12" s="93" t="s">
        <v>13</v>
      </c>
      <c r="G12" s="93" t="s">
        <v>13</v>
      </c>
      <c r="H12" s="1">
        <f>H119</f>
        <v>50</v>
      </c>
      <c r="I12" s="1">
        <f t="shared" ref="I12:N12" si="3">I119</f>
        <v>0</v>
      </c>
      <c r="J12" s="1">
        <f t="shared" si="3"/>
        <v>0</v>
      </c>
      <c r="K12" s="1">
        <f t="shared" si="3"/>
        <v>0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U12" s="43"/>
      <c r="V12" s="43"/>
      <c r="X12" s="61"/>
      <c r="Y12" s="112"/>
      <c r="Z12" s="112"/>
    </row>
    <row r="13" spans="1:26" ht="67.5" customHeight="1" x14ac:dyDescent="0.2">
      <c r="A13" s="174"/>
      <c r="B13" s="174"/>
      <c r="C13" s="84" t="s">
        <v>202</v>
      </c>
      <c r="D13" s="97">
        <v>811</v>
      </c>
      <c r="E13" s="97" t="s">
        <v>13</v>
      </c>
      <c r="F13" s="97" t="s">
        <v>13</v>
      </c>
      <c r="G13" s="97" t="s">
        <v>13</v>
      </c>
      <c r="H13" s="1">
        <f>H18+H50</f>
        <v>0</v>
      </c>
      <c r="I13" s="1">
        <f>I18+I50</f>
        <v>30742.5</v>
      </c>
      <c r="J13" s="1">
        <f>J18+J50</f>
        <v>50307.5</v>
      </c>
      <c r="K13" s="1">
        <f>K18+K50</f>
        <v>0</v>
      </c>
      <c r="L13" s="1">
        <f>17900+92800</f>
        <v>110700</v>
      </c>
      <c r="M13" s="1">
        <f>M18+M50</f>
        <v>941358.8</v>
      </c>
      <c r="N13" s="1">
        <f>N18+N50</f>
        <v>1225624.8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X13" s="61"/>
      <c r="Y13" s="116"/>
      <c r="Z13" s="116"/>
    </row>
    <row r="14" spans="1:26" s="47" customFormat="1" ht="21.75" customHeight="1" x14ac:dyDescent="0.2">
      <c r="A14" s="175" t="s">
        <v>22</v>
      </c>
      <c r="B14" s="160" t="s">
        <v>129</v>
      </c>
      <c r="C14" s="82" t="s">
        <v>170</v>
      </c>
      <c r="D14" s="97" t="s">
        <v>13</v>
      </c>
      <c r="E14" s="97" t="s">
        <v>13</v>
      </c>
      <c r="F14" s="97" t="s">
        <v>13</v>
      </c>
      <c r="G14" s="97" t="s">
        <v>13</v>
      </c>
      <c r="H14" s="1">
        <f t="shared" ref="H14:M14" si="4">SUM(H15:H18)</f>
        <v>1023464.2</v>
      </c>
      <c r="I14" s="1">
        <f t="shared" si="4"/>
        <v>892585.60000000009</v>
      </c>
      <c r="J14" s="1">
        <f t="shared" si="4"/>
        <v>854428.1</v>
      </c>
      <c r="K14" s="1">
        <f t="shared" si="4"/>
        <v>837084.29999999993</v>
      </c>
      <c r="L14" s="1">
        <f>SUM(L15:L18)</f>
        <v>911480.9</v>
      </c>
      <c r="M14" s="1">
        <f t="shared" si="4"/>
        <v>746582.59999999986</v>
      </c>
      <c r="N14" s="1">
        <v>711979.50000000012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X14" s="121"/>
      <c r="Y14" s="116"/>
      <c r="Z14" s="116"/>
    </row>
    <row r="15" spans="1:26" ht="40.5" customHeight="1" x14ac:dyDescent="0.2">
      <c r="A15" s="176"/>
      <c r="B15" s="163"/>
      <c r="C15" s="84" t="s">
        <v>14</v>
      </c>
      <c r="D15" s="97">
        <v>801</v>
      </c>
      <c r="E15" s="97" t="s">
        <v>13</v>
      </c>
      <c r="F15" s="97" t="s">
        <v>13</v>
      </c>
      <c r="G15" s="97" t="s">
        <v>13</v>
      </c>
      <c r="H15" s="1">
        <f>H20+H21+H22+H23+H24+H28+H31+H33+H34+H35+H36+H38+H39+H40+H41+H42+H43+H45</f>
        <v>916179.1</v>
      </c>
      <c r="I15" s="1">
        <f>I20+I21+I22+I23+I24+I28+I31+I33+I34+I35+I36+I38+I39+I40+I41+I42+I43+I45</f>
        <v>797118.70000000007</v>
      </c>
      <c r="J15" s="1">
        <f>J20+J21+J22+J23+J24+J28+J31+J33+J34+J35+J36+J38+J39+J40+J41+J42+J43+J45</f>
        <v>759668.1</v>
      </c>
      <c r="K15" s="1">
        <f>K20+K21+K22+K23+K24+K28+K31+K33+K34+K35+K36+K38+K39+K40+K41+K42+K43+K45</f>
        <v>742936</v>
      </c>
      <c r="L15" s="1">
        <f>L20+L21+L22+L23+L24+L28+L31+L33+L34+L35+L36+L37+L38+L39+L40+L41+L42+L43+L45</f>
        <v>782254.60000000009</v>
      </c>
      <c r="M15" s="1">
        <f>M20+M21+M22+M23+M24+M28+M31+M33+M34+M35+M36+M37+M38+M39+M40+M41+M42+M43+M45</f>
        <v>670546.39999999991</v>
      </c>
      <c r="N15" s="1">
        <v>655662.70000000007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43"/>
      <c r="X15" s="61"/>
      <c r="Y15" s="116"/>
      <c r="Z15" s="116"/>
    </row>
    <row r="16" spans="1:26" ht="40.5" customHeight="1" x14ac:dyDescent="0.2">
      <c r="A16" s="176"/>
      <c r="B16" s="163"/>
      <c r="C16" s="84" t="s">
        <v>140</v>
      </c>
      <c r="D16" s="97">
        <v>800</v>
      </c>
      <c r="E16" s="97" t="s">
        <v>13</v>
      </c>
      <c r="F16" s="97" t="s">
        <v>13</v>
      </c>
      <c r="G16" s="97" t="s">
        <v>13</v>
      </c>
      <c r="H16" s="1">
        <f t="shared" ref="H16:K17" si="5">H25</f>
        <v>50689.1</v>
      </c>
      <c r="I16" s="1">
        <f t="shared" si="5"/>
        <v>41269.9</v>
      </c>
      <c r="J16" s="1">
        <f t="shared" si="5"/>
        <v>40914</v>
      </c>
      <c r="K16" s="1">
        <f t="shared" si="5"/>
        <v>42165.7</v>
      </c>
      <c r="L16" s="1">
        <f>L25+L46</f>
        <v>60732.1</v>
      </c>
      <c r="M16" s="1">
        <v>26578.2</v>
      </c>
      <c r="N16" s="1">
        <v>9084.7999999999993</v>
      </c>
      <c r="O16" s="1" t="s">
        <v>13</v>
      </c>
      <c r="P16" s="1" t="s">
        <v>13</v>
      </c>
      <c r="Q16" s="1" t="s">
        <v>13</v>
      </c>
      <c r="R16" s="1" t="s">
        <v>13</v>
      </c>
      <c r="S16" s="1" t="s">
        <v>13</v>
      </c>
      <c r="X16" s="61"/>
      <c r="Y16" s="116"/>
      <c r="Z16" s="116"/>
    </row>
    <row r="17" spans="1:26" ht="30.75" customHeight="1" x14ac:dyDescent="0.2">
      <c r="A17" s="176"/>
      <c r="B17" s="163"/>
      <c r="C17" s="84" t="s">
        <v>19</v>
      </c>
      <c r="D17" s="97">
        <v>802</v>
      </c>
      <c r="E17" s="97" t="s">
        <v>13</v>
      </c>
      <c r="F17" s="97" t="s">
        <v>13</v>
      </c>
      <c r="G17" s="97" t="s">
        <v>13</v>
      </c>
      <c r="H17" s="1">
        <f t="shared" si="5"/>
        <v>56596</v>
      </c>
      <c r="I17" s="1">
        <f t="shared" si="5"/>
        <v>54197</v>
      </c>
      <c r="J17" s="1">
        <f t="shared" si="5"/>
        <v>53846</v>
      </c>
      <c r="K17" s="1">
        <f t="shared" si="5"/>
        <v>51982.6</v>
      </c>
      <c r="L17" s="1">
        <f>L26</f>
        <v>68494.2</v>
      </c>
      <c r="M17" s="1">
        <v>49458</v>
      </c>
      <c r="N17" s="1">
        <v>47232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X17" s="61"/>
      <c r="Y17" s="116"/>
      <c r="Z17" s="116"/>
    </row>
    <row r="18" spans="1:26" ht="66" customHeight="1" x14ac:dyDescent="0.2">
      <c r="A18" s="177"/>
      <c r="B18" s="161"/>
      <c r="C18" s="92" t="s">
        <v>21</v>
      </c>
      <c r="D18" s="93">
        <v>811</v>
      </c>
      <c r="E18" s="93" t="s">
        <v>13</v>
      </c>
      <c r="F18" s="93" t="s">
        <v>13</v>
      </c>
      <c r="G18" s="93" t="s">
        <v>13</v>
      </c>
      <c r="H18" s="1">
        <f>H29</f>
        <v>0</v>
      </c>
      <c r="I18" s="1">
        <f>I29</f>
        <v>0</v>
      </c>
      <c r="J18" s="1">
        <f>J29</f>
        <v>0</v>
      </c>
      <c r="K18" s="1">
        <f>K29</f>
        <v>0</v>
      </c>
      <c r="L18" s="1">
        <v>0</v>
      </c>
      <c r="M18" s="1">
        <v>0</v>
      </c>
      <c r="N18" s="1">
        <v>0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  <c r="U18" s="43"/>
      <c r="V18" s="43"/>
      <c r="X18" s="61"/>
      <c r="Y18" s="112"/>
      <c r="Z18" s="116"/>
    </row>
    <row r="19" spans="1:26" ht="18" customHeight="1" x14ac:dyDescent="0.2">
      <c r="A19" s="159" t="s">
        <v>171</v>
      </c>
      <c r="B19" s="159" t="s">
        <v>203</v>
      </c>
      <c r="C19" s="84" t="s">
        <v>170</v>
      </c>
      <c r="D19" s="97" t="s">
        <v>13</v>
      </c>
      <c r="E19" s="97" t="s">
        <v>13</v>
      </c>
      <c r="F19" s="97" t="s">
        <v>13</v>
      </c>
      <c r="G19" s="97" t="s">
        <v>13</v>
      </c>
      <c r="H19" s="1">
        <f t="shared" ref="H19:M19" si="6">SUM(H20:H26)</f>
        <v>875406.1</v>
      </c>
      <c r="I19" s="1">
        <f t="shared" si="6"/>
        <v>745416.4</v>
      </c>
      <c r="J19" s="1">
        <f t="shared" si="6"/>
        <v>753381</v>
      </c>
      <c r="K19" s="1">
        <f t="shared" si="6"/>
        <v>723338.29999999993</v>
      </c>
      <c r="L19" s="1">
        <f>SUM(L20:L26)</f>
        <v>783724.6</v>
      </c>
      <c r="M19" s="1">
        <f t="shared" si="6"/>
        <v>646275.89999999991</v>
      </c>
      <c r="N19" s="1">
        <v>616810.10000000009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U19" s="43"/>
      <c r="V19" s="43"/>
      <c r="W19" s="43"/>
      <c r="X19" s="61"/>
      <c r="Y19" s="122"/>
      <c r="Z19" s="122"/>
    </row>
    <row r="20" spans="1:26" ht="24" customHeight="1" x14ac:dyDescent="0.2">
      <c r="A20" s="159"/>
      <c r="B20" s="159"/>
      <c r="C20" s="160" t="s">
        <v>14</v>
      </c>
      <c r="D20" s="164">
        <v>801</v>
      </c>
      <c r="E20" s="97" t="s">
        <v>26</v>
      </c>
      <c r="F20" s="97" t="s">
        <v>130</v>
      </c>
      <c r="G20" s="97">
        <v>610</v>
      </c>
      <c r="H20" s="1">
        <f>330548.4-18.75</f>
        <v>330529.65000000002</v>
      </c>
      <c r="I20" s="1">
        <f>259311.1-35</f>
        <v>259276.1</v>
      </c>
      <c r="J20" s="1">
        <v>266396.79999999999</v>
      </c>
      <c r="K20" s="1">
        <v>263139</v>
      </c>
      <c r="L20" s="1">
        <f>([1]Лист1!$H$7+[1]Лист1!$H$8+[1]Лист1!$H$9+[1]Лист1!$H$10+[1]Лист1!$H$11)/1000</f>
        <v>280647.5</v>
      </c>
      <c r="M20" s="1">
        <f>258708.8-15535.5</f>
        <v>243173.3</v>
      </c>
      <c r="N20" s="1">
        <v>238568.6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W20" s="43"/>
      <c r="X20" s="61"/>
      <c r="Y20" s="61"/>
      <c r="Z20" s="61"/>
    </row>
    <row r="21" spans="1:26" ht="24" customHeight="1" x14ac:dyDescent="0.2">
      <c r="A21" s="159"/>
      <c r="B21" s="159"/>
      <c r="C21" s="163"/>
      <c r="D21" s="165"/>
      <c r="E21" s="97" t="s">
        <v>26</v>
      </c>
      <c r="F21" s="97" t="s">
        <v>130</v>
      </c>
      <c r="G21" s="97">
        <v>620</v>
      </c>
      <c r="H21" s="1">
        <f>435899.8-155.375</f>
        <v>435744.42499999999</v>
      </c>
      <c r="I21" s="1">
        <f>389039.4-20</f>
        <v>389019.4</v>
      </c>
      <c r="J21" s="1">
        <v>391324.2</v>
      </c>
      <c r="K21" s="1">
        <v>365251</v>
      </c>
      <c r="L21" s="1">
        <f>([1]Лист1!$H$12+[1]Лист1!$H$13+[1]Лист1!$H$14+[1]Лист1!$H$15+[1]Лист1!$H$16)/1000</f>
        <v>373430.8</v>
      </c>
      <c r="M21" s="1">
        <f>346896.1-19829.7</f>
        <v>327066.39999999997</v>
      </c>
      <c r="N21" s="1">
        <v>321924.7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</row>
    <row r="22" spans="1:26" ht="24" customHeight="1" x14ac:dyDescent="0.2">
      <c r="A22" s="159"/>
      <c r="B22" s="159"/>
      <c r="C22" s="163"/>
      <c r="D22" s="165"/>
      <c r="E22" s="97" t="s">
        <v>31</v>
      </c>
      <c r="F22" s="97" t="s">
        <v>131</v>
      </c>
      <c r="G22" s="97">
        <v>340</v>
      </c>
      <c r="H22" s="1">
        <v>840</v>
      </c>
      <c r="I22" s="1">
        <v>800</v>
      </c>
      <c r="J22" s="1">
        <v>800</v>
      </c>
      <c r="K22" s="1">
        <v>800</v>
      </c>
      <c r="L22" s="1">
        <f>[1]Лист1!$H$17/1000</f>
        <v>800</v>
      </c>
      <c r="M22" s="1">
        <v>0</v>
      </c>
      <c r="N22" s="1">
        <v>0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</row>
    <row r="23" spans="1:26" ht="24" customHeight="1" x14ac:dyDescent="0.2">
      <c r="A23" s="159"/>
      <c r="B23" s="159"/>
      <c r="C23" s="163"/>
      <c r="D23" s="165"/>
      <c r="E23" s="93" t="s">
        <v>13</v>
      </c>
      <c r="F23" s="93" t="s">
        <v>13</v>
      </c>
      <c r="G23" s="93" t="s">
        <v>13</v>
      </c>
      <c r="H23" s="1">
        <v>174.125</v>
      </c>
      <c r="I23" s="1">
        <f>95+20+35</f>
        <v>150</v>
      </c>
      <c r="J23" s="1">
        <v>100</v>
      </c>
      <c r="K23" s="1">
        <v>0</v>
      </c>
      <c r="L23" s="1">
        <v>0</v>
      </c>
      <c r="M23" s="1">
        <v>0</v>
      </c>
      <c r="N23" s="1">
        <v>0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</row>
    <row r="24" spans="1:26" ht="24" customHeight="1" x14ac:dyDescent="0.2">
      <c r="A24" s="159"/>
      <c r="B24" s="159"/>
      <c r="C24" s="161"/>
      <c r="D24" s="166"/>
      <c r="E24" s="93" t="s">
        <v>13</v>
      </c>
      <c r="F24" s="93" t="s">
        <v>13</v>
      </c>
      <c r="G24" s="93" t="s">
        <v>13</v>
      </c>
      <c r="H24" s="1">
        <v>832.8</v>
      </c>
      <c r="I24" s="1">
        <v>704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</row>
    <row r="25" spans="1:26" ht="45.75" customHeight="1" x14ac:dyDescent="0.25">
      <c r="A25" s="159"/>
      <c r="B25" s="159"/>
      <c r="C25" s="84" t="s">
        <v>140</v>
      </c>
      <c r="D25" s="97">
        <v>800</v>
      </c>
      <c r="E25" s="97" t="s">
        <v>26</v>
      </c>
      <c r="F25" s="97" t="s">
        <v>130</v>
      </c>
      <c r="G25" s="97">
        <v>620</v>
      </c>
      <c r="H25" s="1">
        <v>50689.1</v>
      </c>
      <c r="I25" s="1">
        <v>41269.9</v>
      </c>
      <c r="J25" s="1">
        <v>40914</v>
      </c>
      <c r="K25" s="1">
        <v>42165.7</v>
      </c>
      <c r="L25" s="1">
        <f>60352.1</f>
        <v>60352.1</v>
      </c>
      <c r="M25" s="1">
        <v>26578.2</v>
      </c>
      <c r="N25" s="1">
        <v>9084.7999999999993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48"/>
      <c r="U25" s="64"/>
    </row>
    <row r="26" spans="1:26" ht="31.5" customHeight="1" x14ac:dyDescent="0.2">
      <c r="A26" s="159"/>
      <c r="B26" s="159"/>
      <c r="C26" s="84" t="s">
        <v>19</v>
      </c>
      <c r="D26" s="97">
        <v>802</v>
      </c>
      <c r="E26" s="97" t="s">
        <v>26</v>
      </c>
      <c r="F26" s="97" t="s">
        <v>130</v>
      </c>
      <c r="G26" s="97">
        <v>610</v>
      </c>
      <c r="H26" s="1">
        <v>56596</v>
      </c>
      <c r="I26" s="1">
        <v>54197</v>
      </c>
      <c r="J26" s="1">
        <v>53846</v>
      </c>
      <c r="K26" s="1">
        <v>51982.6</v>
      </c>
      <c r="L26" s="1">
        <v>68494.2</v>
      </c>
      <c r="M26" s="1">
        <v>49458</v>
      </c>
      <c r="N26" s="1">
        <v>47232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  <c r="T26" s="48"/>
    </row>
    <row r="27" spans="1:26" ht="21.75" customHeight="1" x14ac:dyDescent="0.2">
      <c r="A27" s="160" t="s">
        <v>172</v>
      </c>
      <c r="B27" s="160" t="s">
        <v>204</v>
      </c>
      <c r="C27" s="84" t="s">
        <v>170</v>
      </c>
      <c r="D27" s="97" t="s">
        <v>13</v>
      </c>
      <c r="E27" s="97" t="s">
        <v>13</v>
      </c>
      <c r="F27" s="97" t="s">
        <v>13</v>
      </c>
      <c r="G27" s="97" t="s">
        <v>13</v>
      </c>
      <c r="H27" s="1">
        <f>SUM(H28:H29)</f>
        <v>0</v>
      </c>
      <c r="I27" s="1">
        <f>SUM(I28:I29)</f>
        <v>0</v>
      </c>
      <c r="J27" s="1">
        <f>SUM(J28:J29)</f>
        <v>0</v>
      </c>
      <c r="K27" s="1">
        <f>SUM(K28:K29)</f>
        <v>0</v>
      </c>
      <c r="L27" s="1">
        <v>0</v>
      </c>
      <c r="M27" s="1">
        <v>0</v>
      </c>
      <c r="N27" s="1">
        <v>0</v>
      </c>
      <c r="O27" s="1" t="s">
        <v>13</v>
      </c>
      <c r="P27" s="1" t="s">
        <v>13</v>
      </c>
      <c r="Q27" s="1" t="s">
        <v>13</v>
      </c>
      <c r="R27" s="1" t="s">
        <v>13</v>
      </c>
      <c r="S27" s="1" t="s">
        <v>13</v>
      </c>
    </row>
    <row r="28" spans="1:26" ht="41.25" customHeight="1" x14ac:dyDescent="0.2">
      <c r="A28" s="163"/>
      <c r="B28" s="163"/>
      <c r="C28" s="84" t="s">
        <v>14</v>
      </c>
      <c r="D28" s="97">
        <v>801</v>
      </c>
      <c r="E28" s="97" t="s">
        <v>13</v>
      </c>
      <c r="F28" s="97" t="s">
        <v>13</v>
      </c>
      <c r="G28" s="97" t="s">
        <v>13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13</v>
      </c>
    </row>
    <row r="29" spans="1:26" ht="66" customHeight="1" x14ac:dyDescent="0.2">
      <c r="A29" s="161"/>
      <c r="B29" s="161"/>
      <c r="C29" s="95" t="s">
        <v>21</v>
      </c>
      <c r="D29" s="93">
        <v>811</v>
      </c>
      <c r="E29" s="93" t="s">
        <v>13</v>
      </c>
      <c r="F29" s="93" t="s">
        <v>13</v>
      </c>
      <c r="G29" s="93" t="s">
        <v>13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</row>
    <row r="30" spans="1:26" ht="22.5" customHeight="1" x14ac:dyDescent="0.2">
      <c r="A30" s="159" t="s">
        <v>173</v>
      </c>
      <c r="B30" s="159" t="s">
        <v>205</v>
      </c>
      <c r="C30" s="84" t="s">
        <v>170</v>
      </c>
      <c r="D30" s="97" t="s">
        <v>13</v>
      </c>
      <c r="E30" s="97" t="s">
        <v>13</v>
      </c>
      <c r="F30" s="97" t="s">
        <v>13</v>
      </c>
      <c r="G30" s="97" t="s">
        <v>13</v>
      </c>
      <c r="H30" s="1">
        <f>SUM(H31)</f>
        <v>27306.9</v>
      </c>
      <c r="I30" s="1">
        <f>SUM(I31)</f>
        <v>22712.9</v>
      </c>
      <c r="J30" s="1">
        <f>SUM(J31)</f>
        <v>23382.1</v>
      </c>
      <c r="K30" s="1">
        <f>SUM(K31)</f>
        <v>22321</v>
      </c>
      <c r="L30" s="1">
        <f>SUM(L31)</f>
        <v>23951.3</v>
      </c>
      <c r="M30" s="1">
        <v>19306.7</v>
      </c>
      <c r="N30" s="1">
        <v>18669.400000000001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</row>
    <row r="31" spans="1:26" ht="41.25" customHeight="1" x14ac:dyDescent="0.2">
      <c r="A31" s="159"/>
      <c r="B31" s="159"/>
      <c r="C31" s="84" t="s">
        <v>14</v>
      </c>
      <c r="D31" s="97">
        <v>801</v>
      </c>
      <c r="E31" s="97" t="s">
        <v>65</v>
      </c>
      <c r="F31" s="97" t="s">
        <v>145</v>
      </c>
      <c r="G31" s="97">
        <v>620</v>
      </c>
      <c r="H31" s="1">
        <v>27306.9</v>
      </c>
      <c r="I31" s="1">
        <v>22712.9</v>
      </c>
      <c r="J31" s="1">
        <v>23382.1</v>
      </c>
      <c r="K31" s="1">
        <v>22321</v>
      </c>
      <c r="L31" s="1">
        <f>[1]Лист1!$M$19/1000</f>
        <v>23951.3</v>
      </c>
      <c r="M31" s="1">
        <v>19306.7</v>
      </c>
      <c r="N31" s="1">
        <v>18669.400000000001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13</v>
      </c>
    </row>
    <row r="32" spans="1:26" ht="18" customHeight="1" x14ac:dyDescent="0.2">
      <c r="A32" s="160" t="s">
        <v>174</v>
      </c>
      <c r="B32" s="160" t="s">
        <v>206</v>
      </c>
      <c r="C32" s="84" t="s">
        <v>170</v>
      </c>
      <c r="D32" s="97" t="s">
        <v>13</v>
      </c>
      <c r="E32" s="97" t="s">
        <v>13</v>
      </c>
      <c r="F32" s="97" t="s">
        <v>13</v>
      </c>
      <c r="G32" s="97" t="s">
        <v>13</v>
      </c>
      <c r="H32" s="1">
        <f>SUM(H33:H43)</f>
        <v>120751.2</v>
      </c>
      <c r="I32" s="1">
        <f>SUM(I33:I43)</f>
        <v>124456.3</v>
      </c>
      <c r="J32" s="1">
        <f>SUM(J33:J43)</f>
        <v>77665</v>
      </c>
      <c r="K32" s="1">
        <f>SUM(K33:K43)</f>
        <v>91425</v>
      </c>
      <c r="L32" s="1">
        <f>SUM(L33:L43)</f>
        <v>91655</v>
      </c>
      <c r="M32" s="1">
        <v>81000</v>
      </c>
      <c r="N32" s="1">
        <v>76500</v>
      </c>
      <c r="O32" s="1" t="s">
        <v>13</v>
      </c>
      <c r="P32" s="1" t="s">
        <v>13</v>
      </c>
      <c r="Q32" s="1" t="s">
        <v>13</v>
      </c>
      <c r="R32" s="1" t="s">
        <v>13</v>
      </c>
      <c r="S32" s="1" t="s">
        <v>13</v>
      </c>
    </row>
    <row r="33" spans="1:25" ht="18.75" customHeight="1" x14ac:dyDescent="0.2">
      <c r="A33" s="163"/>
      <c r="B33" s="163"/>
      <c r="C33" s="160" t="s">
        <v>14</v>
      </c>
      <c r="D33" s="164">
        <v>801</v>
      </c>
      <c r="E33" s="97" t="s">
        <v>46</v>
      </c>
      <c r="F33" s="97" t="s">
        <v>141</v>
      </c>
      <c r="G33" s="97">
        <v>530</v>
      </c>
      <c r="H33" s="1">
        <v>95624</v>
      </c>
      <c r="I33" s="1">
        <v>74553</v>
      </c>
      <c r="J33" s="1">
        <v>69653</v>
      </c>
      <c r="K33" s="1">
        <v>90000</v>
      </c>
      <c r="L33" s="1">
        <v>90000</v>
      </c>
      <c r="M33" s="1">
        <v>81000</v>
      </c>
      <c r="N33" s="1">
        <v>76500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</row>
    <row r="34" spans="1:25" ht="18.75" customHeight="1" x14ac:dyDescent="0.2">
      <c r="A34" s="163"/>
      <c r="B34" s="163"/>
      <c r="C34" s="163"/>
      <c r="D34" s="165"/>
      <c r="E34" s="97" t="s">
        <v>31</v>
      </c>
      <c r="F34" s="97" t="s">
        <v>146</v>
      </c>
      <c r="G34" s="97">
        <v>240</v>
      </c>
      <c r="H34" s="1">
        <v>0</v>
      </c>
      <c r="I34" s="1">
        <v>0</v>
      </c>
      <c r="J34" s="1">
        <v>2405</v>
      </c>
      <c r="K34" s="1">
        <v>55</v>
      </c>
      <c r="L34" s="1">
        <v>35</v>
      </c>
      <c r="M34" s="1">
        <v>0</v>
      </c>
      <c r="N34" s="1">
        <v>0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</row>
    <row r="35" spans="1:25" ht="20.25" customHeight="1" x14ac:dyDescent="0.2">
      <c r="A35" s="163"/>
      <c r="B35" s="163"/>
      <c r="C35" s="163"/>
      <c r="D35" s="165"/>
      <c r="E35" s="97" t="s">
        <v>31</v>
      </c>
      <c r="F35" s="97" t="s">
        <v>146</v>
      </c>
      <c r="G35" s="97">
        <v>320</v>
      </c>
      <c r="H35" s="1">
        <v>880</v>
      </c>
      <c r="I35" s="1">
        <v>800</v>
      </c>
      <c r="J35" s="1">
        <v>900</v>
      </c>
      <c r="K35" s="1">
        <v>780</v>
      </c>
      <c r="L35" s="1">
        <v>600</v>
      </c>
      <c r="M35" s="1">
        <v>0</v>
      </c>
      <c r="N35" s="1">
        <v>0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</row>
    <row r="36" spans="1:25" ht="20.25" customHeight="1" x14ac:dyDescent="0.2">
      <c r="A36" s="163"/>
      <c r="B36" s="163"/>
      <c r="C36" s="163"/>
      <c r="D36" s="165"/>
      <c r="E36" s="97" t="s">
        <v>31</v>
      </c>
      <c r="F36" s="97" t="s">
        <v>146</v>
      </c>
      <c r="G36" s="97">
        <v>350</v>
      </c>
      <c r="H36" s="1">
        <v>90</v>
      </c>
      <c r="I36" s="1">
        <v>90</v>
      </c>
      <c r="J36" s="1">
        <v>90</v>
      </c>
      <c r="K36" s="1">
        <v>90</v>
      </c>
      <c r="L36" s="1">
        <f>[1]Лист1!$I$40/1000</f>
        <v>520</v>
      </c>
      <c r="M36" s="1">
        <v>0</v>
      </c>
      <c r="N36" s="1">
        <v>0</v>
      </c>
      <c r="O36" s="1" t="s">
        <v>13</v>
      </c>
      <c r="P36" s="1" t="s">
        <v>13</v>
      </c>
      <c r="Q36" s="1" t="s">
        <v>13</v>
      </c>
      <c r="R36" s="1" t="s">
        <v>13</v>
      </c>
      <c r="S36" s="1" t="s">
        <v>13</v>
      </c>
    </row>
    <row r="37" spans="1:25" ht="20.25" customHeight="1" x14ac:dyDescent="0.2">
      <c r="A37" s="163"/>
      <c r="B37" s="163"/>
      <c r="C37" s="163"/>
      <c r="D37" s="165"/>
      <c r="E37" s="132" t="s">
        <v>46</v>
      </c>
      <c r="F37" s="132" t="s">
        <v>198</v>
      </c>
      <c r="G37" s="132">
        <v>350</v>
      </c>
      <c r="H37" s="1">
        <v>0</v>
      </c>
      <c r="I37" s="1">
        <v>0</v>
      </c>
      <c r="J37" s="1">
        <v>0</v>
      </c>
      <c r="K37" s="1">
        <v>0</v>
      </c>
      <c r="L37" s="1">
        <v>500</v>
      </c>
      <c r="M37" s="1">
        <v>0</v>
      </c>
      <c r="N37" s="1">
        <v>0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</row>
    <row r="38" spans="1:25" ht="20.25" customHeight="1" x14ac:dyDescent="0.2">
      <c r="A38" s="163"/>
      <c r="B38" s="163"/>
      <c r="C38" s="163"/>
      <c r="D38" s="165"/>
      <c r="E38" s="93" t="s">
        <v>13</v>
      </c>
      <c r="F38" s="93" t="s">
        <v>13</v>
      </c>
      <c r="G38" s="93" t="s">
        <v>13</v>
      </c>
      <c r="H38" s="1">
        <v>500</v>
      </c>
      <c r="I38" s="1">
        <v>500</v>
      </c>
      <c r="J38" s="1">
        <v>500</v>
      </c>
      <c r="K38" s="1">
        <v>500</v>
      </c>
      <c r="L38" s="1">
        <v>0</v>
      </c>
      <c r="M38" s="1">
        <v>0</v>
      </c>
      <c r="N38" s="1">
        <v>0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13</v>
      </c>
    </row>
    <row r="39" spans="1:25" ht="20.25" customHeight="1" x14ac:dyDescent="0.2">
      <c r="A39" s="163"/>
      <c r="B39" s="163"/>
      <c r="C39" s="163"/>
      <c r="D39" s="165"/>
      <c r="E39" s="93" t="s">
        <v>13</v>
      </c>
      <c r="F39" s="93" t="s">
        <v>13</v>
      </c>
      <c r="G39" s="93" t="s">
        <v>13</v>
      </c>
      <c r="H39" s="3">
        <v>800</v>
      </c>
      <c r="I39" s="3">
        <v>800</v>
      </c>
      <c r="J39" s="3">
        <v>0</v>
      </c>
      <c r="K39" s="3">
        <v>0</v>
      </c>
      <c r="L39" s="1">
        <v>0</v>
      </c>
      <c r="M39" s="1">
        <v>0</v>
      </c>
      <c r="N39" s="1">
        <v>0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</row>
    <row r="40" spans="1:25" ht="20.25" customHeight="1" x14ac:dyDescent="0.2">
      <c r="A40" s="163"/>
      <c r="B40" s="163"/>
      <c r="C40" s="163"/>
      <c r="D40" s="165"/>
      <c r="E40" s="93" t="s">
        <v>13</v>
      </c>
      <c r="F40" s="93" t="s">
        <v>13</v>
      </c>
      <c r="G40" s="93" t="s">
        <v>13</v>
      </c>
      <c r="H40" s="3">
        <v>0</v>
      </c>
      <c r="I40" s="3">
        <v>600</v>
      </c>
      <c r="J40" s="3">
        <v>0</v>
      </c>
      <c r="K40" s="3">
        <v>0</v>
      </c>
      <c r="L40" s="1">
        <v>0</v>
      </c>
      <c r="M40" s="1">
        <v>0</v>
      </c>
      <c r="N40" s="1">
        <v>0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</row>
    <row r="41" spans="1:25" ht="20.25" customHeight="1" x14ac:dyDescent="0.2">
      <c r="A41" s="163"/>
      <c r="B41" s="163"/>
      <c r="C41" s="163"/>
      <c r="D41" s="165"/>
      <c r="E41" s="93" t="s">
        <v>13</v>
      </c>
      <c r="F41" s="93" t="s">
        <v>13</v>
      </c>
      <c r="G41" s="93" t="s">
        <v>13</v>
      </c>
      <c r="H41" s="3">
        <v>18523</v>
      </c>
      <c r="I41" s="3">
        <v>43253</v>
      </c>
      <c r="J41" s="3">
        <v>0</v>
      </c>
      <c r="K41" s="3">
        <v>0</v>
      </c>
      <c r="L41" s="1">
        <v>0</v>
      </c>
      <c r="M41" s="1">
        <v>0</v>
      </c>
      <c r="N41" s="1">
        <v>0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</row>
    <row r="42" spans="1:25" ht="20.25" customHeight="1" x14ac:dyDescent="0.2">
      <c r="A42" s="163"/>
      <c r="B42" s="163"/>
      <c r="C42" s="163"/>
      <c r="D42" s="165"/>
      <c r="E42" s="93" t="s">
        <v>13</v>
      </c>
      <c r="F42" s="93" t="s">
        <v>13</v>
      </c>
      <c r="G42" s="93" t="s">
        <v>13</v>
      </c>
      <c r="H42" s="3">
        <v>4137</v>
      </c>
      <c r="I42" s="3">
        <v>3696</v>
      </c>
      <c r="J42" s="3">
        <v>4117</v>
      </c>
      <c r="K42" s="3">
        <v>0</v>
      </c>
      <c r="L42" s="1">
        <v>0</v>
      </c>
      <c r="M42" s="1">
        <v>0</v>
      </c>
      <c r="N42" s="1">
        <v>0</v>
      </c>
      <c r="O42" s="1" t="s">
        <v>13</v>
      </c>
      <c r="P42" s="1" t="s">
        <v>13</v>
      </c>
      <c r="Q42" s="1" t="s">
        <v>13</v>
      </c>
      <c r="R42" s="1" t="s">
        <v>13</v>
      </c>
      <c r="S42" s="1" t="s">
        <v>13</v>
      </c>
    </row>
    <row r="43" spans="1:25" ht="20.25" customHeight="1" x14ac:dyDescent="0.2">
      <c r="A43" s="161"/>
      <c r="B43" s="161"/>
      <c r="C43" s="161"/>
      <c r="D43" s="166"/>
      <c r="E43" s="93" t="s">
        <v>13</v>
      </c>
      <c r="F43" s="93" t="s">
        <v>13</v>
      </c>
      <c r="G43" s="93" t="s">
        <v>13</v>
      </c>
      <c r="H43" s="3">
        <v>197.2</v>
      </c>
      <c r="I43" s="3">
        <v>164.3</v>
      </c>
      <c r="J43" s="3">
        <v>0</v>
      </c>
      <c r="K43" s="3">
        <v>0</v>
      </c>
      <c r="L43" s="1">
        <v>0</v>
      </c>
      <c r="M43" s="1">
        <v>0</v>
      </c>
      <c r="N43" s="1">
        <v>0</v>
      </c>
      <c r="O43" s="1" t="s">
        <v>13</v>
      </c>
      <c r="P43" s="1" t="s">
        <v>13</v>
      </c>
      <c r="Q43" s="1" t="s">
        <v>13</v>
      </c>
      <c r="R43" s="1" t="s">
        <v>13</v>
      </c>
      <c r="S43" s="1" t="s">
        <v>13</v>
      </c>
    </row>
    <row r="44" spans="1:25" ht="13.5" customHeight="1" x14ac:dyDescent="0.2">
      <c r="A44" s="159" t="s">
        <v>151</v>
      </c>
      <c r="B44" s="159" t="s">
        <v>207</v>
      </c>
      <c r="C44" s="84" t="s">
        <v>170</v>
      </c>
      <c r="D44" s="97" t="s">
        <v>13</v>
      </c>
      <c r="E44" s="97" t="s">
        <v>13</v>
      </c>
      <c r="F44" s="97" t="s">
        <v>13</v>
      </c>
      <c r="G44" s="97" t="s">
        <v>13</v>
      </c>
      <c r="H44" s="134">
        <f>SUM(H45)</f>
        <v>0</v>
      </c>
      <c r="I44" s="134">
        <f>SUM(I45)</f>
        <v>0</v>
      </c>
      <c r="J44" s="134">
        <f>SUM(J45)</f>
        <v>0</v>
      </c>
      <c r="K44" s="134">
        <f>SUM(K45)</f>
        <v>0</v>
      </c>
      <c r="L44" s="1">
        <f>SUM(L45:L46)</f>
        <v>12150</v>
      </c>
      <c r="M44" s="1">
        <v>0</v>
      </c>
      <c r="N44" s="1">
        <v>0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</row>
    <row r="45" spans="1:25" ht="41.25" customHeight="1" x14ac:dyDescent="0.2">
      <c r="A45" s="159"/>
      <c r="B45" s="159"/>
      <c r="C45" s="84" t="s">
        <v>14</v>
      </c>
      <c r="D45" s="97">
        <v>801</v>
      </c>
      <c r="E45" s="97" t="s">
        <v>26</v>
      </c>
      <c r="F45" s="97" t="s">
        <v>160</v>
      </c>
      <c r="G45" s="97">
        <v>620</v>
      </c>
      <c r="H45" s="3">
        <v>0</v>
      </c>
      <c r="I45" s="3">
        <v>0</v>
      </c>
      <c r="J45" s="3">
        <v>0</v>
      </c>
      <c r="K45" s="3">
        <v>0</v>
      </c>
      <c r="L45" s="1">
        <f>12150-380</f>
        <v>11770</v>
      </c>
      <c r="M45" s="1">
        <v>0</v>
      </c>
      <c r="N45" s="1">
        <v>0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</row>
    <row r="46" spans="1:25" ht="42.75" customHeight="1" x14ac:dyDescent="0.2">
      <c r="A46" s="159"/>
      <c r="B46" s="159"/>
      <c r="C46" s="136" t="s">
        <v>140</v>
      </c>
      <c r="D46" s="137">
        <v>800</v>
      </c>
      <c r="E46" s="137" t="s">
        <v>26</v>
      </c>
      <c r="F46" s="137" t="s">
        <v>160</v>
      </c>
      <c r="G46" s="137">
        <v>620</v>
      </c>
      <c r="H46" s="3">
        <v>0</v>
      </c>
      <c r="I46" s="3">
        <v>0</v>
      </c>
      <c r="J46" s="3">
        <v>0</v>
      </c>
      <c r="K46" s="3">
        <v>0</v>
      </c>
      <c r="L46" s="1">
        <v>380</v>
      </c>
      <c r="M46" s="1">
        <v>0</v>
      </c>
      <c r="N46" s="1">
        <v>0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35"/>
    </row>
    <row r="47" spans="1:25" ht="20.25" customHeight="1" x14ac:dyDescent="0.2">
      <c r="A47" s="174" t="s">
        <v>36</v>
      </c>
      <c r="B47" s="174" t="s">
        <v>153</v>
      </c>
      <c r="C47" s="84" t="s">
        <v>170</v>
      </c>
      <c r="D47" s="97" t="s">
        <v>13</v>
      </c>
      <c r="E47" s="97" t="s">
        <v>13</v>
      </c>
      <c r="F47" s="97" t="s">
        <v>13</v>
      </c>
      <c r="G47" s="97" t="s">
        <v>13</v>
      </c>
      <c r="H47" s="1">
        <f t="shared" ref="H47:K47" si="7">SUM(H48:H50)</f>
        <v>6408049.319790001</v>
      </c>
      <c r="I47" s="1">
        <f t="shared" si="7"/>
        <v>5846080.5632199999</v>
      </c>
      <c r="J47" s="1">
        <f t="shared" si="7"/>
        <v>5812168.1000000006</v>
      </c>
      <c r="K47" s="1">
        <f t="shared" si="7"/>
        <v>6533612.9999999981</v>
      </c>
      <c r="L47" s="1">
        <f>SUM(L48:L50)</f>
        <v>7123669.8999999994</v>
      </c>
      <c r="M47" s="1">
        <f>SUM(M48:M50)</f>
        <v>6884954.7000000002</v>
      </c>
      <c r="N47" s="1">
        <f>SUM(N48:N50)</f>
        <v>6481766.4999999991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46"/>
      <c r="U47" s="46"/>
      <c r="V47" s="46"/>
      <c r="W47" s="46"/>
      <c r="X47" s="46"/>
      <c r="Y47" s="46"/>
    </row>
    <row r="48" spans="1:25" ht="40.5" customHeight="1" x14ac:dyDescent="0.2">
      <c r="A48" s="174"/>
      <c r="B48" s="174"/>
      <c r="C48" s="84" t="s">
        <v>14</v>
      </c>
      <c r="D48" s="97">
        <v>801</v>
      </c>
      <c r="E48" s="97" t="s">
        <v>13</v>
      </c>
      <c r="F48" s="97" t="s">
        <v>13</v>
      </c>
      <c r="G48" s="97" t="s">
        <v>13</v>
      </c>
      <c r="H48" s="1">
        <f>H52+H53+H54+H55+H56+H57+H58+H59+H60+H61+H62+H63+H64+H65+H66+H67+H68+H69+H70+H71+H72+H73+H74+H75+H76+H77+H79+H81+H82+H83+H84+H85+H86+H87+H94+H95+H98</f>
        <v>6408049.319790001</v>
      </c>
      <c r="I48" s="1">
        <f>I52+I53+I54+I55+I56+I57+I58+I59+I60+I61+I62+I63+I64+I65+I66+I67+I68+I69+I70+I71+I72+I73+I74+I75+I76+I77+I79+I81+I82+I83+I84+I85+I86+I87+I94+I95+I98</f>
        <v>5815338.0632199999</v>
      </c>
      <c r="J48" s="1">
        <f>J52+J53+J54+J55+J56+J57+J58+J59+J60+J61+J62+J63+J64+J65+J66+J67+J68+J69+J70+J71+J72+J73+J74+J75+J76+J77+J79+J81+J82+J83+J84+J85+J86+J87+J94+J95+J98</f>
        <v>5761860.6000000006</v>
      </c>
      <c r="K48" s="1">
        <f>K52+K53+K54+K55+K56+K57+K58+K59+K60+K61+K62+K63+K64+K65+K66+K67+K68+K69+K70+K71+K72+K73+K74+K75+K76+K77+K79+K81+K82+K83+K84+K85+K86+K87+K94+K95+K98</f>
        <v>6533612.9999999981</v>
      </c>
      <c r="L48" s="1">
        <f>L52+L53+L54+L55+L56+L58+L59+L60+L79+L81+L82+L94+L98+L100+L101</f>
        <v>7012969.8999999994</v>
      </c>
      <c r="M48" s="1">
        <f>M52+M53+M54+M55+M56+M58+M59+M60+M79+M81+M82+M94+M98+M100+M101</f>
        <v>5943595.9000000004</v>
      </c>
      <c r="N48" s="1">
        <v>5256141.6999999993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43"/>
    </row>
    <row r="49" spans="1:21" ht="33" customHeight="1" x14ac:dyDescent="0.2">
      <c r="A49" s="174"/>
      <c r="B49" s="174"/>
      <c r="C49" s="84" t="s">
        <v>19</v>
      </c>
      <c r="D49" s="97">
        <v>802</v>
      </c>
      <c r="E49" s="97" t="s">
        <v>13</v>
      </c>
      <c r="F49" s="97" t="s">
        <v>13</v>
      </c>
      <c r="G49" s="97" t="s">
        <v>13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21" ht="66.75" customHeight="1" x14ac:dyDescent="0.25">
      <c r="A50" s="174"/>
      <c r="B50" s="174"/>
      <c r="C50" s="84" t="s">
        <v>202</v>
      </c>
      <c r="D50" s="97">
        <v>811</v>
      </c>
      <c r="E50" s="97" t="s">
        <v>13</v>
      </c>
      <c r="F50" s="97" t="s">
        <v>13</v>
      </c>
      <c r="G50" s="97" t="s">
        <v>13</v>
      </c>
      <c r="H50" s="1">
        <f>H88+H89+H90+H91+H96</f>
        <v>0</v>
      </c>
      <c r="I50" s="1">
        <f>I88+I89+I90+I91+I96</f>
        <v>30742.5</v>
      </c>
      <c r="J50" s="1">
        <f>J88+J89+J90+J91+J96</f>
        <v>50307.5</v>
      </c>
      <c r="K50" s="1">
        <f>K88+K89+K90+K91+K96</f>
        <v>0</v>
      </c>
      <c r="L50" s="1">
        <f>L88+L89+L96</f>
        <v>110700</v>
      </c>
      <c r="M50" s="1">
        <f>M96+M88+M89</f>
        <v>941358.8</v>
      </c>
      <c r="N50" s="1">
        <f>N96+N88</f>
        <v>1225624.8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65"/>
      <c r="U50" s="66"/>
    </row>
    <row r="51" spans="1:21" ht="19.5" customHeight="1" x14ac:dyDescent="0.2">
      <c r="A51" s="160" t="s">
        <v>175</v>
      </c>
      <c r="B51" s="160" t="s">
        <v>208</v>
      </c>
      <c r="C51" s="84" t="s">
        <v>170</v>
      </c>
      <c r="D51" s="97" t="s">
        <v>13</v>
      </c>
      <c r="E51" s="97" t="s">
        <v>13</v>
      </c>
      <c r="F51" s="97" t="s">
        <v>13</v>
      </c>
      <c r="G51" s="97" t="s">
        <v>13</v>
      </c>
      <c r="H51" s="1">
        <f t="shared" ref="H51:N51" si="8">SUM(H52:H77)</f>
        <v>5905121.2318600006</v>
      </c>
      <c r="I51" s="1">
        <f t="shared" si="8"/>
        <v>5584652.5999999996</v>
      </c>
      <c r="J51" s="1">
        <f t="shared" si="8"/>
        <v>5707984.2000000002</v>
      </c>
      <c r="K51" s="1">
        <f t="shared" si="8"/>
        <v>6023708.3999999985</v>
      </c>
      <c r="L51" s="3">
        <f t="shared" si="8"/>
        <v>6792984.2000000002</v>
      </c>
      <c r="M51" s="3">
        <f t="shared" si="8"/>
        <v>5559332.7000000002</v>
      </c>
      <c r="N51" s="3">
        <f t="shared" si="8"/>
        <v>5256141.6999999993</v>
      </c>
      <c r="O51" s="1" t="s">
        <v>13</v>
      </c>
      <c r="P51" s="1" t="s">
        <v>13</v>
      </c>
      <c r="Q51" s="1" t="s">
        <v>13</v>
      </c>
      <c r="R51" s="1" t="s">
        <v>13</v>
      </c>
      <c r="S51" s="1" t="s">
        <v>13</v>
      </c>
    </row>
    <row r="52" spans="1:21" ht="19.5" customHeight="1" x14ac:dyDescent="0.2">
      <c r="A52" s="163"/>
      <c r="B52" s="163"/>
      <c r="C52" s="160" t="s">
        <v>14</v>
      </c>
      <c r="D52" s="164">
        <v>801</v>
      </c>
      <c r="E52" s="97" t="s">
        <v>42</v>
      </c>
      <c r="F52" s="97" t="s">
        <v>133</v>
      </c>
      <c r="G52" s="97">
        <v>530</v>
      </c>
      <c r="H52" s="1">
        <v>183821</v>
      </c>
      <c r="I52" s="1">
        <v>196000</v>
      </c>
      <c r="J52" s="1">
        <v>216801</v>
      </c>
      <c r="K52" s="1">
        <v>256436</v>
      </c>
      <c r="L52" s="1">
        <f>[1]Лист1!$M$61/1000</f>
        <v>271746</v>
      </c>
      <c r="M52" s="1">
        <v>244571.4</v>
      </c>
      <c r="N52" s="1">
        <v>230984.1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</row>
    <row r="53" spans="1:21" ht="19.5" customHeight="1" x14ac:dyDescent="0.2">
      <c r="A53" s="163"/>
      <c r="B53" s="163"/>
      <c r="C53" s="163"/>
      <c r="D53" s="165"/>
      <c r="E53" s="97" t="s">
        <v>38</v>
      </c>
      <c r="F53" s="97" t="s">
        <v>132</v>
      </c>
      <c r="G53" s="97">
        <v>630</v>
      </c>
      <c r="H53" s="1">
        <v>34710</v>
      </c>
      <c r="I53" s="1">
        <v>32983.5</v>
      </c>
      <c r="J53" s="1">
        <v>35315.5</v>
      </c>
      <c r="K53" s="1">
        <v>32941.699999999997</v>
      </c>
      <c r="L53" s="1">
        <f>[1]Лист1!$M$138/1000</f>
        <v>32941.699999999997</v>
      </c>
      <c r="M53" s="1">
        <v>0</v>
      </c>
      <c r="N53" s="1">
        <v>0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13</v>
      </c>
    </row>
    <row r="54" spans="1:21" ht="19.5" customHeight="1" x14ac:dyDescent="0.2">
      <c r="A54" s="163"/>
      <c r="B54" s="163"/>
      <c r="C54" s="163"/>
      <c r="D54" s="165"/>
      <c r="E54" s="97" t="s">
        <v>31</v>
      </c>
      <c r="F54" s="97" t="s">
        <v>147</v>
      </c>
      <c r="G54" s="97">
        <v>530</v>
      </c>
      <c r="H54" s="1">
        <v>0</v>
      </c>
      <c r="I54" s="1">
        <v>0</v>
      </c>
      <c r="J54" s="1">
        <v>0</v>
      </c>
      <c r="K54" s="1">
        <v>5307884</v>
      </c>
      <c r="L54" s="1">
        <f>[1]Лист1!$M$99/1000</f>
        <v>5837357</v>
      </c>
      <c r="M54" s="1">
        <v>4962593.7</v>
      </c>
      <c r="N54" s="1">
        <v>4686894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</row>
    <row r="55" spans="1:21" ht="19.5" customHeight="1" x14ac:dyDescent="0.2">
      <c r="A55" s="163"/>
      <c r="B55" s="163"/>
      <c r="C55" s="163"/>
      <c r="D55" s="165"/>
      <c r="E55" s="97" t="s">
        <v>46</v>
      </c>
      <c r="F55" s="1" t="s">
        <v>142</v>
      </c>
      <c r="G55" s="97">
        <v>530</v>
      </c>
      <c r="H55" s="1">
        <v>0</v>
      </c>
      <c r="I55" s="1">
        <v>27076</v>
      </c>
      <c r="J55" s="1">
        <v>28661</v>
      </c>
      <c r="K55" s="1">
        <v>26042</v>
      </c>
      <c r="L55" s="1">
        <f>[1]Лист1!$M$80/1000</f>
        <v>26974</v>
      </c>
      <c r="M55" s="1">
        <v>24276.6</v>
      </c>
      <c r="N55" s="1">
        <v>22927.9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13</v>
      </c>
    </row>
    <row r="56" spans="1:21" ht="27" customHeight="1" x14ac:dyDescent="0.2">
      <c r="A56" s="163"/>
      <c r="B56" s="163"/>
      <c r="C56" s="163"/>
      <c r="D56" s="165"/>
      <c r="E56" s="164" t="s">
        <v>46</v>
      </c>
      <c r="F56" s="156" t="s">
        <v>143</v>
      </c>
      <c r="G56" s="164" t="s">
        <v>227</v>
      </c>
      <c r="H56" s="1">
        <v>79728.7</v>
      </c>
      <c r="I56" s="1">
        <v>70242</v>
      </c>
      <c r="J56" s="154">
        <v>311002.49999999994</v>
      </c>
      <c r="K56" s="154">
        <v>296365.09999999998</v>
      </c>
      <c r="L56" s="154">
        <f>[1]Лист1!$M$147/1000</f>
        <v>320732.90000000002</v>
      </c>
      <c r="M56" s="154">
        <v>285939.90000000002</v>
      </c>
      <c r="N56" s="154">
        <v>275426.09999999998</v>
      </c>
      <c r="O56" s="156" t="s">
        <v>13</v>
      </c>
      <c r="P56" s="156" t="s">
        <v>13</v>
      </c>
      <c r="Q56" s="156" t="s">
        <v>13</v>
      </c>
      <c r="R56" s="156" t="s">
        <v>13</v>
      </c>
      <c r="S56" s="156" t="s">
        <v>13</v>
      </c>
    </row>
    <row r="57" spans="1:21" ht="27" customHeight="1" x14ac:dyDescent="0.2">
      <c r="A57" s="163"/>
      <c r="B57" s="163"/>
      <c r="C57" s="163"/>
      <c r="D57" s="165"/>
      <c r="E57" s="166"/>
      <c r="F57" s="157"/>
      <c r="G57" s="166"/>
      <c r="H57" s="3">
        <v>302491.2</v>
      </c>
      <c r="I57" s="1">
        <v>258015.7</v>
      </c>
      <c r="J57" s="133"/>
      <c r="K57" s="133"/>
      <c r="L57" s="133"/>
      <c r="M57" s="133"/>
      <c r="N57" s="133"/>
      <c r="O57" s="157"/>
      <c r="P57" s="157"/>
      <c r="Q57" s="157"/>
      <c r="R57" s="157"/>
      <c r="S57" s="157"/>
    </row>
    <row r="58" spans="1:21" ht="20.25" customHeight="1" x14ac:dyDescent="0.2">
      <c r="A58" s="163"/>
      <c r="B58" s="163"/>
      <c r="C58" s="163"/>
      <c r="D58" s="165"/>
      <c r="E58" s="97" t="s">
        <v>31</v>
      </c>
      <c r="F58" s="97" t="s">
        <v>148</v>
      </c>
      <c r="G58" s="97">
        <v>520</v>
      </c>
      <c r="H58" s="1">
        <v>0</v>
      </c>
      <c r="I58" s="1">
        <v>0</v>
      </c>
      <c r="J58" s="1">
        <v>0</v>
      </c>
      <c r="K58" s="1">
        <v>88292</v>
      </c>
      <c r="L58" s="1">
        <f>[1]Лист1!$M$137/1000</f>
        <v>288267</v>
      </c>
      <c r="M58" s="1">
        <v>31500</v>
      </c>
      <c r="N58" s="1">
        <v>29750</v>
      </c>
      <c r="O58" s="1" t="s">
        <v>13</v>
      </c>
      <c r="P58" s="1" t="s">
        <v>13</v>
      </c>
      <c r="Q58" s="1" t="s">
        <v>13</v>
      </c>
      <c r="R58" s="1" t="s">
        <v>13</v>
      </c>
      <c r="S58" s="1" t="s">
        <v>13</v>
      </c>
    </row>
    <row r="59" spans="1:21" ht="20.25" customHeight="1" x14ac:dyDescent="0.2">
      <c r="A59" s="163"/>
      <c r="B59" s="163"/>
      <c r="C59" s="163"/>
      <c r="D59" s="165"/>
      <c r="E59" s="97" t="s">
        <v>31</v>
      </c>
      <c r="F59" s="1" t="s">
        <v>149</v>
      </c>
      <c r="G59" s="97">
        <v>610</v>
      </c>
      <c r="H59" s="1">
        <v>0</v>
      </c>
      <c r="I59" s="1">
        <v>0</v>
      </c>
      <c r="J59" s="1">
        <v>13757.2</v>
      </c>
      <c r="K59" s="1">
        <v>10678.1</v>
      </c>
      <c r="L59" s="1">
        <f>[1]Лист1!$M$148/1000</f>
        <v>10953.1</v>
      </c>
      <c r="M59" s="1">
        <v>10451.1</v>
      </c>
      <c r="N59" s="1">
        <v>10159.6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13</v>
      </c>
    </row>
    <row r="60" spans="1:21" ht="20.25" customHeight="1" x14ac:dyDescent="0.2">
      <c r="A60" s="163"/>
      <c r="B60" s="163"/>
      <c r="C60" s="163"/>
      <c r="D60" s="165"/>
      <c r="E60" s="97" t="s">
        <v>46</v>
      </c>
      <c r="F60" s="97" t="s">
        <v>144</v>
      </c>
      <c r="G60" s="97">
        <v>630</v>
      </c>
      <c r="H60" s="1">
        <v>0</v>
      </c>
      <c r="I60" s="1">
        <v>0</v>
      </c>
      <c r="J60" s="1">
        <v>0</v>
      </c>
      <c r="K60" s="1">
        <v>4012.5</v>
      </c>
      <c r="L60" s="1">
        <f>[1]Лист1!$M$149/1000</f>
        <v>4012.5</v>
      </c>
      <c r="M60" s="1">
        <v>0</v>
      </c>
      <c r="N60" s="1">
        <v>0</v>
      </c>
      <c r="O60" s="1" t="s">
        <v>13</v>
      </c>
      <c r="P60" s="1" t="s">
        <v>13</v>
      </c>
      <c r="Q60" s="1" t="s">
        <v>13</v>
      </c>
      <c r="R60" s="1" t="s">
        <v>13</v>
      </c>
      <c r="S60" s="1" t="s">
        <v>13</v>
      </c>
    </row>
    <row r="61" spans="1:21" ht="20.25" customHeight="1" x14ac:dyDescent="0.2">
      <c r="A61" s="163"/>
      <c r="B61" s="163"/>
      <c r="C61" s="163"/>
      <c r="D61" s="165"/>
      <c r="E61" s="93" t="s">
        <v>13</v>
      </c>
      <c r="F61" s="93" t="s">
        <v>13</v>
      </c>
      <c r="G61" s="93" t="s">
        <v>13</v>
      </c>
      <c r="H61" s="1">
        <v>1222524</v>
      </c>
      <c r="I61" s="1">
        <v>1347826</v>
      </c>
      <c r="J61" s="1">
        <v>1806492</v>
      </c>
      <c r="K61" s="1">
        <v>0</v>
      </c>
      <c r="L61" s="1">
        <v>0</v>
      </c>
      <c r="M61" s="1">
        <v>0</v>
      </c>
      <c r="N61" s="1">
        <v>0</v>
      </c>
      <c r="O61" s="1" t="s">
        <v>13</v>
      </c>
      <c r="P61" s="1" t="s">
        <v>13</v>
      </c>
      <c r="Q61" s="1" t="s">
        <v>13</v>
      </c>
      <c r="R61" s="1" t="s">
        <v>13</v>
      </c>
      <c r="S61" s="1" t="s">
        <v>13</v>
      </c>
    </row>
    <row r="62" spans="1:21" ht="20.25" customHeight="1" x14ac:dyDescent="0.2">
      <c r="A62" s="163"/>
      <c r="B62" s="163"/>
      <c r="C62" s="163"/>
      <c r="D62" s="165"/>
      <c r="E62" s="93" t="s">
        <v>13</v>
      </c>
      <c r="F62" s="93" t="s">
        <v>13</v>
      </c>
      <c r="G62" s="93" t="s">
        <v>13</v>
      </c>
      <c r="H62" s="1">
        <v>15377</v>
      </c>
      <c r="I62" s="1">
        <v>15821</v>
      </c>
      <c r="J62" s="1">
        <v>16888</v>
      </c>
      <c r="K62" s="1">
        <v>0</v>
      </c>
      <c r="L62" s="1">
        <v>0</v>
      </c>
      <c r="M62" s="1">
        <v>0</v>
      </c>
      <c r="N62" s="1">
        <v>0</v>
      </c>
      <c r="O62" s="1" t="s">
        <v>13</v>
      </c>
      <c r="P62" s="1" t="s">
        <v>13</v>
      </c>
      <c r="Q62" s="1" t="s">
        <v>13</v>
      </c>
      <c r="R62" s="1" t="s">
        <v>13</v>
      </c>
      <c r="S62" s="1" t="s">
        <v>13</v>
      </c>
    </row>
    <row r="63" spans="1:21" ht="20.25" customHeight="1" x14ac:dyDescent="0.2">
      <c r="A63" s="163"/>
      <c r="B63" s="163"/>
      <c r="C63" s="163"/>
      <c r="D63" s="165"/>
      <c r="E63" s="93" t="s">
        <v>13</v>
      </c>
      <c r="F63" s="93" t="s">
        <v>13</v>
      </c>
      <c r="G63" s="93" t="s">
        <v>13</v>
      </c>
      <c r="H63" s="1">
        <v>3045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 t="s">
        <v>13</v>
      </c>
      <c r="P63" s="1" t="s">
        <v>13</v>
      </c>
      <c r="Q63" s="1" t="s">
        <v>13</v>
      </c>
      <c r="R63" s="1" t="s">
        <v>13</v>
      </c>
      <c r="S63" s="1" t="s">
        <v>13</v>
      </c>
    </row>
    <row r="64" spans="1:21" ht="20.25" customHeight="1" x14ac:dyDescent="0.2">
      <c r="A64" s="163"/>
      <c r="B64" s="163"/>
      <c r="C64" s="163"/>
      <c r="D64" s="165"/>
      <c r="E64" s="93" t="s">
        <v>13</v>
      </c>
      <c r="F64" s="93" t="s">
        <v>13</v>
      </c>
      <c r="G64" s="93" t="s">
        <v>13</v>
      </c>
      <c r="H64" s="1">
        <v>3977825</v>
      </c>
      <c r="I64" s="1">
        <v>3566656</v>
      </c>
      <c r="J64" s="1">
        <v>3269547</v>
      </c>
      <c r="K64" s="1">
        <v>0</v>
      </c>
      <c r="L64" s="1">
        <v>0</v>
      </c>
      <c r="M64" s="1">
        <v>0</v>
      </c>
      <c r="N64" s="1">
        <v>0</v>
      </c>
      <c r="O64" s="1" t="s">
        <v>13</v>
      </c>
      <c r="P64" s="1" t="s">
        <v>13</v>
      </c>
      <c r="Q64" s="1" t="s">
        <v>13</v>
      </c>
      <c r="R64" s="1" t="s">
        <v>13</v>
      </c>
      <c r="S64" s="1" t="s">
        <v>13</v>
      </c>
    </row>
    <row r="65" spans="1:19" ht="20.25" customHeight="1" x14ac:dyDescent="0.2">
      <c r="A65" s="163"/>
      <c r="B65" s="163"/>
      <c r="C65" s="163"/>
      <c r="D65" s="165"/>
      <c r="E65" s="93" t="s">
        <v>46</v>
      </c>
      <c r="F65" s="94" t="s">
        <v>168</v>
      </c>
      <c r="G65" s="93">
        <v>610</v>
      </c>
      <c r="H65" s="1">
        <v>0</v>
      </c>
      <c r="I65" s="1">
        <v>0</v>
      </c>
      <c r="J65" s="1">
        <v>0</v>
      </c>
      <c r="K65" s="1">
        <v>103.1</v>
      </c>
      <c r="L65" s="1">
        <v>0</v>
      </c>
      <c r="M65" s="1">
        <v>0</v>
      </c>
      <c r="N65" s="1">
        <v>0</v>
      </c>
      <c r="O65" s="1" t="s">
        <v>13</v>
      </c>
      <c r="P65" s="1" t="s">
        <v>13</v>
      </c>
      <c r="Q65" s="1" t="s">
        <v>13</v>
      </c>
      <c r="R65" s="1" t="s">
        <v>13</v>
      </c>
      <c r="S65" s="1" t="s">
        <v>13</v>
      </c>
    </row>
    <row r="66" spans="1:19" ht="20.25" customHeight="1" x14ac:dyDescent="0.2">
      <c r="A66" s="163"/>
      <c r="B66" s="163"/>
      <c r="C66" s="163"/>
      <c r="D66" s="165"/>
      <c r="E66" s="93" t="s">
        <v>152</v>
      </c>
      <c r="F66" s="94" t="s">
        <v>168</v>
      </c>
      <c r="G66" s="93">
        <v>610</v>
      </c>
      <c r="H66" s="1">
        <v>0</v>
      </c>
      <c r="I66" s="1">
        <v>0</v>
      </c>
      <c r="J66" s="1">
        <v>0</v>
      </c>
      <c r="K66" s="1">
        <v>103.1</v>
      </c>
      <c r="L66" s="1">
        <v>0</v>
      </c>
      <c r="M66" s="1">
        <v>0</v>
      </c>
      <c r="N66" s="1">
        <v>0</v>
      </c>
      <c r="O66" s="1" t="s">
        <v>13</v>
      </c>
      <c r="P66" s="1" t="s">
        <v>13</v>
      </c>
      <c r="Q66" s="1" t="s">
        <v>13</v>
      </c>
      <c r="R66" s="1" t="s">
        <v>13</v>
      </c>
      <c r="S66" s="1" t="s">
        <v>13</v>
      </c>
    </row>
    <row r="67" spans="1:19" ht="20.25" customHeight="1" x14ac:dyDescent="0.2">
      <c r="A67" s="163"/>
      <c r="B67" s="163"/>
      <c r="C67" s="163"/>
      <c r="D67" s="165"/>
      <c r="E67" s="93" t="s">
        <v>26</v>
      </c>
      <c r="F67" s="94" t="s">
        <v>168</v>
      </c>
      <c r="G67" s="93" t="s">
        <v>56</v>
      </c>
      <c r="H67" s="1">
        <v>0</v>
      </c>
      <c r="I67" s="1">
        <v>0</v>
      </c>
      <c r="J67" s="1">
        <v>0</v>
      </c>
      <c r="K67" s="1">
        <v>850.80000000000007</v>
      </c>
      <c r="L67" s="1">
        <v>0</v>
      </c>
      <c r="M67" s="1">
        <v>0</v>
      </c>
      <c r="N67" s="1">
        <v>0</v>
      </c>
      <c r="O67" s="1" t="s">
        <v>13</v>
      </c>
      <c r="P67" s="1" t="s">
        <v>13</v>
      </c>
      <c r="Q67" s="1" t="s">
        <v>13</v>
      </c>
      <c r="R67" s="1" t="s">
        <v>13</v>
      </c>
      <c r="S67" s="1" t="s">
        <v>13</v>
      </c>
    </row>
    <row r="68" spans="1:19" ht="20.25" customHeight="1" x14ac:dyDescent="0.2">
      <c r="A68" s="163"/>
      <c r="B68" s="163"/>
      <c r="C68" s="163"/>
      <c r="D68" s="165"/>
      <c r="E68" s="93" t="s">
        <v>13</v>
      </c>
      <c r="F68" s="93" t="s">
        <v>13</v>
      </c>
      <c r="G68" s="93" t="s">
        <v>13</v>
      </c>
      <c r="H68" s="1">
        <v>9709</v>
      </c>
      <c r="I68" s="1">
        <v>9347</v>
      </c>
      <c r="J68" s="1">
        <v>9520</v>
      </c>
      <c r="K68" s="1">
        <v>0</v>
      </c>
      <c r="L68" s="1">
        <v>0</v>
      </c>
      <c r="M68" s="1">
        <v>0</v>
      </c>
      <c r="N68" s="1">
        <v>0</v>
      </c>
      <c r="O68" s="1" t="s">
        <v>13</v>
      </c>
      <c r="P68" s="1" t="s">
        <v>13</v>
      </c>
      <c r="Q68" s="1" t="s">
        <v>13</v>
      </c>
      <c r="R68" s="1" t="s">
        <v>13</v>
      </c>
      <c r="S68" s="1" t="s">
        <v>13</v>
      </c>
    </row>
    <row r="69" spans="1:19" ht="20.25" customHeight="1" x14ac:dyDescent="0.2">
      <c r="A69" s="163"/>
      <c r="B69" s="163"/>
      <c r="C69" s="163"/>
      <c r="D69" s="165"/>
      <c r="E69" s="93" t="s">
        <v>13</v>
      </c>
      <c r="F69" s="93" t="s">
        <v>13</v>
      </c>
      <c r="G69" s="93" t="s">
        <v>13</v>
      </c>
      <c r="H69" s="1">
        <v>33.331859999999999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 t="s">
        <v>13</v>
      </c>
      <c r="P69" s="1" t="s">
        <v>13</v>
      </c>
      <c r="Q69" s="1" t="s">
        <v>13</v>
      </c>
      <c r="R69" s="1" t="s">
        <v>13</v>
      </c>
      <c r="S69" s="1" t="s">
        <v>13</v>
      </c>
    </row>
    <row r="70" spans="1:19" ht="20.25" customHeight="1" x14ac:dyDescent="0.2">
      <c r="A70" s="163"/>
      <c r="B70" s="163"/>
      <c r="C70" s="163"/>
      <c r="D70" s="165"/>
      <c r="E70" s="93" t="s">
        <v>13</v>
      </c>
      <c r="F70" s="93" t="s">
        <v>13</v>
      </c>
      <c r="G70" s="93" t="s">
        <v>13</v>
      </c>
      <c r="H70" s="1">
        <f>5988+660</f>
        <v>6648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 t="s">
        <v>13</v>
      </c>
      <c r="P70" s="1" t="s">
        <v>13</v>
      </c>
      <c r="Q70" s="1" t="s">
        <v>13</v>
      </c>
      <c r="R70" s="1" t="s">
        <v>13</v>
      </c>
      <c r="S70" s="1" t="s">
        <v>13</v>
      </c>
    </row>
    <row r="71" spans="1:19" ht="20.25" customHeight="1" x14ac:dyDescent="0.2">
      <c r="A71" s="163"/>
      <c r="B71" s="163"/>
      <c r="C71" s="163"/>
      <c r="D71" s="165"/>
      <c r="E71" s="93" t="s">
        <v>13</v>
      </c>
      <c r="F71" s="93" t="s">
        <v>13</v>
      </c>
      <c r="G71" s="93" t="s">
        <v>13</v>
      </c>
      <c r="H71" s="1">
        <f>12605.3+3677.5</f>
        <v>16282.8</v>
      </c>
      <c r="I71" s="1">
        <v>2695.8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 t="s">
        <v>13</v>
      </c>
      <c r="P71" s="1" t="s">
        <v>13</v>
      </c>
      <c r="Q71" s="1" t="s">
        <v>13</v>
      </c>
      <c r="R71" s="1" t="s">
        <v>13</v>
      </c>
      <c r="S71" s="1" t="s">
        <v>13</v>
      </c>
    </row>
    <row r="72" spans="1:19" ht="20.25" customHeight="1" x14ac:dyDescent="0.2">
      <c r="A72" s="163"/>
      <c r="B72" s="163"/>
      <c r="C72" s="163"/>
      <c r="D72" s="165"/>
      <c r="E72" s="93" t="s">
        <v>13</v>
      </c>
      <c r="F72" s="93" t="s">
        <v>13</v>
      </c>
      <c r="G72" s="93" t="s">
        <v>13</v>
      </c>
      <c r="H72" s="1">
        <v>1200</v>
      </c>
      <c r="I72" s="1">
        <v>629.79999999999995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 t="s">
        <v>13</v>
      </c>
      <c r="P72" s="1" t="s">
        <v>13</v>
      </c>
      <c r="Q72" s="1" t="s">
        <v>13</v>
      </c>
      <c r="R72" s="1" t="s">
        <v>13</v>
      </c>
      <c r="S72" s="1" t="s">
        <v>13</v>
      </c>
    </row>
    <row r="73" spans="1:19" ht="20.25" customHeight="1" x14ac:dyDescent="0.2">
      <c r="A73" s="163"/>
      <c r="B73" s="163"/>
      <c r="C73" s="163"/>
      <c r="D73" s="165"/>
      <c r="E73" s="93" t="s">
        <v>13</v>
      </c>
      <c r="F73" s="93" t="s">
        <v>13</v>
      </c>
      <c r="G73" s="93" t="s">
        <v>13</v>
      </c>
      <c r="H73" s="1">
        <v>51126.2</v>
      </c>
      <c r="I73" s="1">
        <f>30434.2+11561+9667.3+324.6-164.3</f>
        <v>51822.799999999996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 t="s">
        <v>13</v>
      </c>
      <c r="P73" s="1" t="s">
        <v>13</v>
      </c>
      <c r="Q73" s="1" t="s">
        <v>13</v>
      </c>
      <c r="R73" s="1" t="s">
        <v>13</v>
      </c>
      <c r="S73" s="1" t="s">
        <v>13</v>
      </c>
    </row>
    <row r="74" spans="1:19" ht="20.25" customHeight="1" x14ac:dyDescent="0.2">
      <c r="A74" s="163"/>
      <c r="B74" s="163"/>
      <c r="C74" s="163"/>
      <c r="D74" s="165"/>
      <c r="E74" s="93" t="s">
        <v>13</v>
      </c>
      <c r="F74" s="93" t="s">
        <v>13</v>
      </c>
      <c r="G74" s="93" t="s">
        <v>13</v>
      </c>
      <c r="H74" s="3">
        <v>0</v>
      </c>
      <c r="I74" s="3">
        <v>4218.8999999999996</v>
      </c>
      <c r="J74" s="3">
        <v>0</v>
      </c>
      <c r="K74" s="3">
        <v>0</v>
      </c>
      <c r="L74" s="1">
        <v>0</v>
      </c>
      <c r="M74" s="1">
        <v>0</v>
      </c>
      <c r="N74" s="1">
        <v>0</v>
      </c>
      <c r="O74" s="1" t="s">
        <v>13</v>
      </c>
      <c r="P74" s="1" t="s">
        <v>13</v>
      </c>
      <c r="Q74" s="1" t="s">
        <v>13</v>
      </c>
      <c r="R74" s="1" t="s">
        <v>13</v>
      </c>
      <c r="S74" s="1" t="s">
        <v>13</v>
      </c>
    </row>
    <row r="75" spans="1:19" ht="20.25" customHeight="1" x14ac:dyDescent="0.2">
      <c r="A75" s="163"/>
      <c r="B75" s="163"/>
      <c r="C75" s="163"/>
      <c r="D75" s="165"/>
      <c r="E75" s="93" t="s">
        <v>13</v>
      </c>
      <c r="F75" s="93" t="s">
        <v>13</v>
      </c>
      <c r="G75" s="93" t="s">
        <v>13</v>
      </c>
      <c r="H75" s="3">
        <v>0</v>
      </c>
      <c r="I75" s="3">
        <v>298.10000000000002</v>
      </c>
      <c r="J75" s="3">
        <v>0</v>
      </c>
      <c r="K75" s="3">
        <v>0</v>
      </c>
      <c r="L75" s="1">
        <v>0</v>
      </c>
      <c r="M75" s="1">
        <v>0</v>
      </c>
      <c r="N75" s="1">
        <v>0</v>
      </c>
      <c r="O75" s="1" t="s">
        <v>13</v>
      </c>
      <c r="P75" s="1" t="s">
        <v>13</v>
      </c>
      <c r="Q75" s="1" t="s">
        <v>13</v>
      </c>
      <c r="R75" s="1" t="s">
        <v>13</v>
      </c>
      <c r="S75" s="1" t="s">
        <v>13</v>
      </c>
    </row>
    <row r="76" spans="1:19" ht="20.25" customHeight="1" x14ac:dyDescent="0.2">
      <c r="A76" s="163"/>
      <c r="B76" s="163"/>
      <c r="C76" s="163"/>
      <c r="D76" s="165"/>
      <c r="E76" s="93" t="s">
        <v>13</v>
      </c>
      <c r="F76" s="93" t="s">
        <v>13</v>
      </c>
      <c r="G76" s="93" t="s">
        <v>13</v>
      </c>
      <c r="H76" s="3">
        <v>0</v>
      </c>
      <c r="I76" s="3">
        <f>280+140</f>
        <v>420</v>
      </c>
      <c r="J76" s="3">
        <v>0</v>
      </c>
      <c r="K76" s="3">
        <v>0</v>
      </c>
      <c r="L76" s="1">
        <v>0</v>
      </c>
      <c r="M76" s="1">
        <v>0</v>
      </c>
      <c r="N76" s="1">
        <v>0</v>
      </c>
      <c r="O76" s="1" t="s">
        <v>13</v>
      </c>
      <c r="P76" s="1" t="s">
        <v>13</v>
      </c>
      <c r="Q76" s="1" t="s">
        <v>13</v>
      </c>
      <c r="R76" s="1" t="s">
        <v>13</v>
      </c>
      <c r="S76" s="1" t="s">
        <v>13</v>
      </c>
    </row>
    <row r="77" spans="1:19" ht="20.25" customHeight="1" x14ac:dyDescent="0.2">
      <c r="A77" s="161"/>
      <c r="B77" s="161"/>
      <c r="C77" s="161"/>
      <c r="D77" s="166"/>
      <c r="E77" s="93" t="s">
        <v>13</v>
      </c>
      <c r="F77" s="93" t="s">
        <v>13</v>
      </c>
      <c r="G77" s="93" t="s">
        <v>13</v>
      </c>
      <c r="H77" s="1">
        <v>600</v>
      </c>
      <c r="I77" s="1">
        <v>600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 t="s">
        <v>13</v>
      </c>
      <c r="P77" s="1" t="s">
        <v>13</v>
      </c>
      <c r="Q77" s="1" t="s">
        <v>13</v>
      </c>
      <c r="R77" s="1" t="s">
        <v>13</v>
      </c>
      <c r="S77" s="1" t="s">
        <v>13</v>
      </c>
    </row>
    <row r="78" spans="1:19" ht="21" customHeight="1" x14ac:dyDescent="0.2">
      <c r="A78" s="159" t="s">
        <v>176</v>
      </c>
      <c r="B78" s="159" t="s">
        <v>209</v>
      </c>
      <c r="C78" s="84" t="s">
        <v>170</v>
      </c>
      <c r="D78" s="97" t="s">
        <v>13</v>
      </c>
      <c r="E78" s="97" t="s">
        <v>13</v>
      </c>
      <c r="F78" s="97" t="s">
        <v>13</v>
      </c>
      <c r="G78" s="97" t="s">
        <v>13</v>
      </c>
      <c r="H78" s="1">
        <f>SUM(H79)</f>
        <v>0</v>
      </c>
      <c r="I78" s="1">
        <f>SUM(I79)</f>
        <v>0</v>
      </c>
      <c r="J78" s="1">
        <f>SUM(J79)</f>
        <v>0</v>
      </c>
      <c r="K78" s="1">
        <f>SUM(K79)</f>
        <v>911.7</v>
      </c>
      <c r="L78" s="1">
        <f>SUM(L79)</f>
        <v>1111.5999999999999</v>
      </c>
      <c r="M78" s="1">
        <v>0</v>
      </c>
      <c r="N78" s="1">
        <v>0</v>
      </c>
      <c r="O78" s="1" t="s">
        <v>13</v>
      </c>
      <c r="P78" s="1" t="s">
        <v>13</v>
      </c>
      <c r="Q78" s="1" t="s">
        <v>13</v>
      </c>
      <c r="R78" s="1" t="s">
        <v>13</v>
      </c>
      <c r="S78" s="1" t="s">
        <v>13</v>
      </c>
    </row>
    <row r="79" spans="1:19" ht="45" customHeight="1" x14ac:dyDescent="0.2">
      <c r="A79" s="159"/>
      <c r="B79" s="159"/>
      <c r="C79" s="82" t="s">
        <v>14</v>
      </c>
      <c r="D79" s="97">
        <v>801</v>
      </c>
      <c r="E79" s="97" t="s">
        <v>65</v>
      </c>
      <c r="F79" s="97" t="s">
        <v>161</v>
      </c>
      <c r="G79" s="97">
        <v>620</v>
      </c>
      <c r="H79" s="1">
        <v>0</v>
      </c>
      <c r="I79" s="1">
        <v>0</v>
      </c>
      <c r="J79" s="1">
        <v>0</v>
      </c>
      <c r="K79" s="1">
        <v>911.7</v>
      </c>
      <c r="L79" s="1">
        <f>[1]Лист1!$M$151/1000</f>
        <v>1111.5999999999999</v>
      </c>
      <c r="M79" s="1">
        <v>0</v>
      </c>
      <c r="N79" s="1">
        <v>0</v>
      </c>
      <c r="O79" s="1" t="s">
        <v>13</v>
      </c>
      <c r="P79" s="1" t="s">
        <v>13</v>
      </c>
      <c r="Q79" s="1" t="s">
        <v>13</v>
      </c>
      <c r="R79" s="1" t="s">
        <v>13</v>
      </c>
      <c r="S79" s="1" t="s">
        <v>13</v>
      </c>
    </row>
    <row r="80" spans="1:19" ht="18.75" customHeight="1" x14ac:dyDescent="0.2">
      <c r="A80" s="160" t="s">
        <v>177</v>
      </c>
      <c r="B80" s="160" t="s">
        <v>210</v>
      </c>
      <c r="C80" s="123" t="s">
        <v>170</v>
      </c>
      <c r="D80" s="119" t="s">
        <v>13</v>
      </c>
      <c r="E80" s="119" t="s">
        <v>13</v>
      </c>
      <c r="F80" s="119" t="s">
        <v>13</v>
      </c>
      <c r="G80" s="119" t="s">
        <v>13</v>
      </c>
      <c r="H80" s="1">
        <f>SUM(H81:H91)</f>
        <v>502928.08792999998</v>
      </c>
      <c r="I80" s="1">
        <f>SUM(I81:I91)</f>
        <v>261427.96321999998</v>
      </c>
      <c r="J80" s="1">
        <f>SUM(J81:J91)</f>
        <v>104183.9</v>
      </c>
      <c r="K80" s="1">
        <f>SUM(K81:K91)</f>
        <v>56936.899999999994</v>
      </c>
      <c r="L80" s="1">
        <f>L81+L82+L83+L84+L85+L86+L87+L88+L89+L90+L91</f>
        <v>170981.8</v>
      </c>
      <c r="M80" s="1">
        <f>M81+M82+M83+M84+M85+M86+M87+M88+M89+M90+M91</f>
        <v>296765.2</v>
      </c>
      <c r="N80" s="1">
        <f t="shared" ref="N80" si="9">N81+N82+N83+N84+N85+N86+N87+N88+N89+N90+N91</f>
        <v>89100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</row>
    <row r="81" spans="1:19" ht="27" customHeight="1" x14ac:dyDescent="0.2">
      <c r="A81" s="163"/>
      <c r="B81" s="163"/>
      <c r="C81" s="160" t="s">
        <v>14</v>
      </c>
      <c r="D81" s="164">
        <v>801</v>
      </c>
      <c r="E81" s="119" t="s">
        <v>31</v>
      </c>
      <c r="F81" s="119" t="s">
        <v>150</v>
      </c>
      <c r="G81" s="119">
        <v>240</v>
      </c>
      <c r="H81" s="3">
        <v>0</v>
      </c>
      <c r="I81" s="3">
        <v>0</v>
      </c>
      <c r="J81" s="3">
        <v>0</v>
      </c>
      <c r="K81" s="3">
        <v>35365.1</v>
      </c>
      <c r="L81" s="1">
        <f>[1]Лист1!$M$152/1000</f>
        <v>35365.199999999997</v>
      </c>
      <c r="M81" s="1">
        <v>35365.199999999997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</row>
    <row r="82" spans="1:19" ht="24.75" customHeight="1" x14ac:dyDescent="0.2">
      <c r="A82" s="163"/>
      <c r="B82" s="163"/>
      <c r="C82" s="163"/>
      <c r="D82" s="165"/>
      <c r="E82" s="119" t="s">
        <v>162</v>
      </c>
      <c r="F82" s="119" t="s">
        <v>199</v>
      </c>
      <c r="G82" s="119">
        <v>520</v>
      </c>
      <c r="H82" s="1">
        <v>22101.3</v>
      </c>
      <c r="I82" s="1">
        <v>25413</v>
      </c>
      <c r="J82" s="1">
        <v>0</v>
      </c>
      <c r="K82" s="1">
        <v>21571.8</v>
      </c>
      <c r="L82" s="1">
        <f>[1]Лист1!$M$154/1000</f>
        <v>24916.6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</row>
    <row r="83" spans="1:19" ht="24.75" customHeight="1" x14ac:dyDescent="0.2">
      <c r="A83" s="163"/>
      <c r="B83" s="163"/>
      <c r="C83" s="163"/>
      <c r="D83" s="165"/>
      <c r="E83" s="119" t="s">
        <v>13</v>
      </c>
      <c r="F83" s="119" t="s">
        <v>13</v>
      </c>
      <c r="G83" s="119" t="s">
        <v>13</v>
      </c>
      <c r="H83" s="1">
        <v>1428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</row>
    <row r="84" spans="1:19" ht="24.75" customHeight="1" x14ac:dyDescent="0.2">
      <c r="A84" s="163"/>
      <c r="B84" s="163"/>
      <c r="C84" s="163"/>
      <c r="D84" s="165"/>
      <c r="E84" s="119" t="s">
        <v>13</v>
      </c>
      <c r="F84" s="119" t="s">
        <v>13</v>
      </c>
      <c r="G84" s="119" t="s">
        <v>13</v>
      </c>
      <c r="H84" s="1">
        <v>450493</v>
      </c>
      <c r="I84" s="1">
        <f>17222.96322+161699.36+26350.14</f>
        <v>205272.46321999998</v>
      </c>
      <c r="J84" s="1">
        <v>53876.4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</row>
    <row r="85" spans="1:19" ht="24.75" customHeight="1" x14ac:dyDescent="0.2">
      <c r="A85" s="163"/>
      <c r="B85" s="163"/>
      <c r="C85" s="163"/>
      <c r="D85" s="165"/>
      <c r="E85" s="119" t="s">
        <v>13</v>
      </c>
      <c r="F85" s="119" t="s">
        <v>13</v>
      </c>
      <c r="G85" s="119" t="s">
        <v>13</v>
      </c>
      <c r="H85" s="1">
        <v>1142.6850300000001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</row>
    <row r="86" spans="1:19" ht="24.75" customHeight="1" x14ac:dyDescent="0.2">
      <c r="A86" s="163"/>
      <c r="B86" s="163"/>
      <c r="C86" s="163"/>
      <c r="D86" s="165"/>
      <c r="E86" s="119" t="s">
        <v>13</v>
      </c>
      <c r="F86" s="119" t="s">
        <v>13</v>
      </c>
      <c r="G86" s="119" t="s">
        <v>13</v>
      </c>
      <c r="H86" s="1">
        <v>401.60289999999998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</row>
    <row r="87" spans="1:19" ht="24.75" customHeight="1" x14ac:dyDescent="0.2">
      <c r="A87" s="163"/>
      <c r="B87" s="163"/>
      <c r="C87" s="161"/>
      <c r="D87" s="166"/>
      <c r="E87" s="119" t="s">
        <v>13</v>
      </c>
      <c r="F87" s="119" t="s">
        <v>13</v>
      </c>
      <c r="G87" s="119" t="s">
        <v>13</v>
      </c>
      <c r="H87" s="1">
        <f>14107.5+13254</f>
        <v>27361.5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</row>
    <row r="88" spans="1:19" ht="34.5" customHeight="1" x14ac:dyDescent="0.2">
      <c r="A88" s="163"/>
      <c r="B88" s="163"/>
      <c r="C88" s="160" t="s">
        <v>202</v>
      </c>
      <c r="D88" s="164">
        <v>811</v>
      </c>
      <c r="E88" s="119" t="s">
        <v>38</v>
      </c>
      <c r="F88" s="119" t="s">
        <v>163</v>
      </c>
      <c r="G88" s="119">
        <v>410</v>
      </c>
      <c r="H88" s="1">
        <v>0</v>
      </c>
      <c r="I88" s="1">
        <v>0</v>
      </c>
      <c r="J88" s="1">
        <v>0</v>
      </c>
      <c r="K88" s="1">
        <v>0</v>
      </c>
      <c r="L88" s="1">
        <f>5900+92800</f>
        <v>98700</v>
      </c>
      <c r="M88" s="1">
        <f>15700+245700</f>
        <v>261400</v>
      </c>
      <c r="N88" s="1">
        <f>5300+83800</f>
        <v>89100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</row>
    <row r="89" spans="1:19" ht="34.5" customHeight="1" x14ac:dyDescent="0.2">
      <c r="A89" s="163"/>
      <c r="B89" s="163"/>
      <c r="C89" s="163"/>
      <c r="D89" s="165"/>
      <c r="E89" s="119" t="s">
        <v>46</v>
      </c>
      <c r="F89" s="119" t="s">
        <v>164</v>
      </c>
      <c r="G89" s="119">
        <v>410</v>
      </c>
      <c r="H89" s="1">
        <v>0</v>
      </c>
      <c r="I89" s="1">
        <v>0</v>
      </c>
      <c r="J89" s="1">
        <v>0</v>
      </c>
      <c r="K89" s="1">
        <v>0</v>
      </c>
      <c r="L89" s="1">
        <v>12000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</row>
    <row r="90" spans="1:19" ht="34.5" customHeight="1" x14ac:dyDescent="0.2">
      <c r="A90" s="163"/>
      <c r="B90" s="163"/>
      <c r="C90" s="163"/>
      <c r="D90" s="165"/>
      <c r="E90" s="119" t="s">
        <v>13</v>
      </c>
      <c r="F90" s="119" t="s">
        <v>13</v>
      </c>
      <c r="G90" s="119" t="s">
        <v>13</v>
      </c>
      <c r="H90" s="1">
        <v>0</v>
      </c>
      <c r="I90" s="1">
        <v>30742.5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</row>
    <row r="91" spans="1:19" ht="34.5" customHeight="1" x14ac:dyDescent="0.2">
      <c r="A91" s="161"/>
      <c r="B91" s="161"/>
      <c r="C91" s="161"/>
      <c r="D91" s="166"/>
      <c r="E91" s="119" t="s">
        <v>13</v>
      </c>
      <c r="F91" s="119" t="s">
        <v>13</v>
      </c>
      <c r="G91" s="119" t="s">
        <v>13</v>
      </c>
      <c r="H91" s="1">
        <v>0</v>
      </c>
      <c r="I91" s="1">
        <v>0</v>
      </c>
      <c r="J91" s="1">
        <v>50307.5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</row>
    <row r="92" spans="1:19" ht="34.5" hidden="1" customHeight="1" x14ac:dyDescent="0.2">
      <c r="A92" s="117"/>
      <c r="B92" s="117"/>
      <c r="C92" s="124"/>
      <c r="D92" s="118"/>
      <c r="E92" s="93"/>
      <c r="F92" s="93"/>
      <c r="G92" s="9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6.5" customHeight="1" x14ac:dyDescent="0.2">
      <c r="A93" s="159" t="s">
        <v>158</v>
      </c>
      <c r="B93" s="159" t="s">
        <v>211</v>
      </c>
      <c r="C93" s="84" t="s">
        <v>170</v>
      </c>
      <c r="D93" s="97" t="s">
        <v>13</v>
      </c>
      <c r="E93" s="97" t="s">
        <v>13</v>
      </c>
      <c r="F93" s="97" t="s">
        <v>13</v>
      </c>
      <c r="G93" s="97" t="s">
        <v>13</v>
      </c>
      <c r="H93" s="1">
        <f>SUM(H94:H96)</f>
        <v>0</v>
      </c>
      <c r="I93" s="1">
        <f>SUM(I94:I96)</f>
        <v>0</v>
      </c>
      <c r="J93" s="1">
        <f>SUM(J94:J96)</f>
        <v>0</v>
      </c>
      <c r="K93" s="1">
        <f>SUM(K94:K96)</f>
        <v>452056</v>
      </c>
      <c r="L93" s="1">
        <v>0</v>
      </c>
      <c r="M93" s="1">
        <f>SUM(M94:M96)</f>
        <v>679958.8</v>
      </c>
      <c r="N93" s="1">
        <f>SUM(N94:N96)</f>
        <v>1136524.8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</row>
    <row r="94" spans="1:19" ht="27.75" customHeight="1" x14ac:dyDescent="0.2">
      <c r="A94" s="159"/>
      <c r="B94" s="159"/>
      <c r="C94" s="160" t="s">
        <v>14</v>
      </c>
      <c r="D94" s="164">
        <v>801</v>
      </c>
      <c r="E94" s="97" t="s">
        <v>13</v>
      </c>
      <c r="F94" s="97" t="s">
        <v>13</v>
      </c>
      <c r="G94" s="97" t="s">
        <v>13</v>
      </c>
      <c r="H94" s="3">
        <v>0</v>
      </c>
      <c r="I94" s="3">
        <v>0</v>
      </c>
      <c r="J94" s="3">
        <v>0</v>
      </c>
      <c r="K94" s="3">
        <v>317056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</row>
    <row r="95" spans="1:19" ht="27.75" customHeight="1" x14ac:dyDescent="0.2">
      <c r="A95" s="159"/>
      <c r="B95" s="159"/>
      <c r="C95" s="161"/>
      <c r="D95" s="166"/>
      <c r="E95" s="97" t="s">
        <v>13</v>
      </c>
      <c r="F95" s="97" t="s">
        <v>13</v>
      </c>
      <c r="G95" s="97" t="s">
        <v>13</v>
      </c>
      <c r="H95" s="3">
        <v>0</v>
      </c>
      <c r="I95" s="3">
        <v>0</v>
      </c>
      <c r="J95" s="3">
        <v>0</v>
      </c>
      <c r="K95" s="3">
        <v>135000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</row>
    <row r="96" spans="1:19" ht="70.5" customHeight="1" x14ac:dyDescent="0.2">
      <c r="A96" s="159"/>
      <c r="B96" s="159"/>
      <c r="C96" s="82" t="s">
        <v>21</v>
      </c>
      <c r="D96" s="97">
        <v>811</v>
      </c>
      <c r="E96" s="97" t="s">
        <v>46</v>
      </c>
      <c r="F96" s="97" t="s">
        <v>165</v>
      </c>
      <c r="G96" s="97">
        <v>410</v>
      </c>
      <c r="H96" s="3">
        <v>0</v>
      </c>
      <c r="I96" s="3">
        <v>0</v>
      </c>
      <c r="J96" s="3">
        <v>0</v>
      </c>
      <c r="K96" s="3">
        <v>0</v>
      </c>
      <c r="L96" s="1">
        <v>0</v>
      </c>
      <c r="M96" s="1">
        <v>679958.8</v>
      </c>
      <c r="N96" s="1">
        <v>1136524.8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</row>
    <row r="97" spans="1:21" ht="18.75" customHeight="1" x14ac:dyDescent="0.2">
      <c r="A97" s="159" t="s">
        <v>178</v>
      </c>
      <c r="B97" s="159" t="s">
        <v>179</v>
      </c>
      <c r="C97" s="84" t="s">
        <v>170</v>
      </c>
      <c r="D97" s="97" t="s">
        <v>13</v>
      </c>
      <c r="E97" s="97" t="s">
        <v>13</v>
      </c>
      <c r="F97" s="97" t="s">
        <v>13</v>
      </c>
      <c r="G97" s="97" t="s">
        <v>13</v>
      </c>
      <c r="H97" s="1">
        <f>SUM(H98)</f>
        <v>0</v>
      </c>
      <c r="I97" s="1">
        <f>SUM(I98)</f>
        <v>0</v>
      </c>
      <c r="J97" s="1">
        <f>SUM(J98)</f>
        <v>0</v>
      </c>
      <c r="K97" s="1">
        <f>SUM(K98)</f>
        <v>0</v>
      </c>
      <c r="L97" s="1">
        <v>0</v>
      </c>
      <c r="M97" s="1">
        <v>0</v>
      </c>
      <c r="N97" s="1">
        <v>0</v>
      </c>
      <c r="O97" s="1" t="s">
        <v>13</v>
      </c>
      <c r="P97" s="1" t="s">
        <v>13</v>
      </c>
      <c r="Q97" s="1" t="s">
        <v>13</v>
      </c>
      <c r="R97" s="1" t="s">
        <v>13</v>
      </c>
      <c r="S97" s="1" t="s">
        <v>13</v>
      </c>
    </row>
    <row r="98" spans="1:21" ht="47.25" customHeight="1" x14ac:dyDescent="0.2">
      <c r="A98" s="159"/>
      <c r="B98" s="159"/>
      <c r="C98" s="82" t="s">
        <v>14</v>
      </c>
      <c r="D98" s="97">
        <v>801</v>
      </c>
      <c r="E98" s="97" t="s">
        <v>13</v>
      </c>
      <c r="F98" s="97" t="s">
        <v>13</v>
      </c>
      <c r="G98" s="97" t="s">
        <v>13</v>
      </c>
      <c r="H98" s="3">
        <v>0</v>
      </c>
      <c r="I98" s="3">
        <v>0</v>
      </c>
      <c r="J98" s="3">
        <v>0</v>
      </c>
      <c r="K98" s="3">
        <v>0</v>
      </c>
      <c r="L98" s="1">
        <v>0</v>
      </c>
      <c r="M98" s="1">
        <v>0</v>
      </c>
      <c r="N98" s="1">
        <v>0</v>
      </c>
      <c r="O98" s="1" t="s">
        <v>13</v>
      </c>
      <c r="P98" s="1" t="s">
        <v>13</v>
      </c>
      <c r="Q98" s="1" t="s">
        <v>13</v>
      </c>
      <c r="R98" s="1" t="s">
        <v>13</v>
      </c>
      <c r="S98" s="1" t="s">
        <v>13</v>
      </c>
    </row>
    <row r="99" spans="1:21" s="101" customFormat="1" ht="35.25" customHeight="1" x14ac:dyDescent="0.2">
      <c r="A99" s="160" t="s">
        <v>194</v>
      </c>
      <c r="B99" s="160" t="s">
        <v>212</v>
      </c>
      <c r="C99" s="126" t="s">
        <v>170</v>
      </c>
      <c r="D99" s="125" t="s">
        <v>13</v>
      </c>
      <c r="E99" s="125" t="s">
        <v>13</v>
      </c>
      <c r="F99" s="125" t="s">
        <v>13</v>
      </c>
      <c r="G99" s="125" t="s">
        <v>13</v>
      </c>
      <c r="H99" s="3">
        <v>0</v>
      </c>
      <c r="I99" s="3">
        <v>0</v>
      </c>
      <c r="J99" s="3">
        <v>0</v>
      </c>
      <c r="K99" s="3">
        <v>0</v>
      </c>
      <c r="L99" s="3">
        <f>SUM(L100:L101)</f>
        <v>158592.30000000002</v>
      </c>
      <c r="M99" s="3">
        <f>SUM(M100:M101)</f>
        <v>348898</v>
      </c>
      <c r="N99" s="3">
        <v>0</v>
      </c>
      <c r="O99" s="1" t="s">
        <v>13</v>
      </c>
      <c r="P99" s="1" t="s">
        <v>13</v>
      </c>
      <c r="Q99" s="1" t="s">
        <v>13</v>
      </c>
      <c r="R99" s="1" t="s">
        <v>13</v>
      </c>
      <c r="S99" s="1" t="s">
        <v>13</v>
      </c>
    </row>
    <row r="100" spans="1:21" s="101" customFormat="1" ht="35.25" customHeight="1" x14ac:dyDescent="0.2">
      <c r="A100" s="163"/>
      <c r="B100" s="163"/>
      <c r="C100" s="160" t="s">
        <v>14</v>
      </c>
      <c r="D100" s="131">
        <v>801</v>
      </c>
      <c r="E100" s="131" t="s">
        <v>38</v>
      </c>
      <c r="F100" s="131" t="s">
        <v>196</v>
      </c>
      <c r="G100" s="131">
        <v>410</v>
      </c>
      <c r="H100" s="3">
        <v>0</v>
      </c>
      <c r="I100" s="3">
        <v>0</v>
      </c>
      <c r="J100" s="3">
        <v>0</v>
      </c>
      <c r="K100" s="3">
        <v>0</v>
      </c>
      <c r="L100" s="3">
        <v>9515.6</v>
      </c>
      <c r="M100" s="3">
        <v>20933.900000000001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</row>
    <row r="101" spans="1:21" s="101" customFormat="1" ht="37.5" customHeight="1" x14ac:dyDescent="0.2">
      <c r="A101" s="161"/>
      <c r="B101" s="161"/>
      <c r="C101" s="161"/>
      <c r="D101" s="125">
        <v>801</v>
      </c>
      <c r="E101" s="125" t="s">
        <v>38</v>
      </c>
      <c r="F101" s="125" t="s">
        <v>197</v>
      </c>
      <c r="G101" s="125">
        <v>410</v>
      </c>
      <c r="H101" s="3">
        <v>0</v>
      </c>
      <c r="I101" s="3">
        <v>0</v>
      </c>
      <c r="J101" s="3">
        <v>0</v>
      </c>
      <c r="K101" s="3">
        <v>0</v>
      </c>
      <c r="L101" s="1">
        <v>149076.70000000001</v>
      </c>
      <c r="M101" s="1">
        <v>327964.09999999998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</row>
    <row r="102" spans="1:21" ht="21.75" customHeight="1" x14ac:dyDescent="0.2">
      <c r="A102" s="159" t="s">
        <v>81</v>
      </c>
      <c r="B102" s="159" t="s">
        <v>154</v>
      </c>
      <c r="C102" s="84" t="s">
        <v>170</v>
      </c>
      <c r="D102" s="97" t="s">
        <v>13</v>
      </c>
      <c r="E102" s="97" t="s">
        <v>13</v>
      </c>
      <c r="F102" s="97" t="s">
        <v>13</v>
      </c>
      <c r="G102" s="1" t="s">
        <v>13</v>
      </c>
      <c r="H102" s="1">
        <f>SUM(H103)</f>
        <v>31981.200000000001</v>
      </c>
      <c r="I102" s="1">
        <f>SUM(I103)</f>
        <v>39388.6</v>
      </c>
      <c r="J102" s="1">
        <f>SUM(J103)</f>
        <v>47870.700000000004</v>
      </c>
      <c r="K102" s="1">
        <f>SUM(K103)</f>
        <v>40565.9</v>
      </c>
      <c r="L102" s="1">
        <f>SUM(L103)</f>
        <v>32818.6</v>
      </c>
      <c r="M102" s="1">
        <v>6147.1</v>
      </c>
      <c r="N102" s="1">
        <v>6147.1</v>
      </c>
      <c r="O102" s="1" t="s">
        <v>13</v>
      </c>
      <c r="P102" s="1" t="s">
        <v>13</v>
      </c>
      <c r="Q102" s="1" t="s">
        <v>13</v>
      </c>
      <c r="R102" s="1" t="s">
        <v>13</v>
      </c>
      <c r="S102" s="1" t="s">
        <v>13</v>
      </c>
    </row>
    <row r="103" spans="1:21" ht="44.25" customHeight="1" x14ac:dyDescent="0.2">
      <c r="A103" s="159"/>
      <c r="B103" s="159"/>
      <c r="C103" s="82" t="s">
        <v>14</v>
      </c>
      <c r="D103" s="97">
        <v>801</v>
      </c>
      <c r="E103" s="97" t="s">
        <v>13</v>
      </c>
      <c r="F103" s="97" t="s">
        <v>13</v>
      </c>
      <c r="G103" s="97" t="s">
        <v>13</v>
      </c>
      <c r="H103" s="1">
        <f>H104+H107</f>
        <v>31981.200000000001</v>
      </c>
      <c r="I103" s="1">
        <f>I104+I107</f>
        <v>39388.6</v>
      </c>
      <c r="J103" s="1">
        <f>J104+J107</f>
        <v>47870.700000000004</v>
      </c>
      <c r="K103" s="1">
        <f>K104+K107</f>
        <v>40565.9</v>
      </c>
      <c r="L103" s="1">
        <f>L104+L107</f>
        <v>32818.6</v>
      </c>
      <c r="M103" s="1">
        <v>6147.1</v>
      </c>
      <c r="N103" s="1">
        <v>6147.1</v>
      </c>
      <c r="O103" s="1" t="s">
        <v>13</v>
      </c>
      <c r="P103" s="1" t="s">
        <v>13</v>
      </c>
      <c r="Q103" s="1" t="s">
        <v>13</v>
      </c>
      <c r="R103" s="1" t="s">
        <v>13</v>
      </c>
      <c r="S103" s="1" t="s">
        <v>13</v>
      </c>
    </row>
    <row r="104" spans="1:21" ht="21" customHeight="1" x14ac:dyDescent="0.2">
      <c r="A104" s="159" t="s">
        <v>181</v>
      </c>
      <c r="B104" s="159" t="s">
        <v>213</v>
      </c>
      <c r="C104" s="84" t="s">
        <v>170</v>
      </c>
      <c r="D104" s="97" t="s">
        <v>13</v>
      </c>
      <c r="E104" s="97" t="s">
        <v>13</v>
      </c>
      <c r="F104" s="97" t="s">
        <v>13</v>
      </c>
      <c r="G104" s="97" t="s">
        <v>13</v>
      </c>
      <c r="H104" s="1">
        <f>SUM(H105:H106)</f>
        <v>31981.200000000001</v>
      </c>
      <c r="I104" s="1">
        <f>SUM(I105:I106)</f>
        <v>39388.6</v>
      </c>
      <c r="J104" s="1">
        <f>SUM(J105:J106)</f>
        <v>47770.700000000004</v>
      </c>
      <c r="K104" s="1">
        <f>SUM(K105:K106)</f>
        <v>33128.800000000003</v>
      </c>
      <c r="L104" s="1">
        <f>SUM(L105:L106)</f>
        <v>32818.6</v>
      </c>
      <c r="M104" s="1">
        <v>6147.1</v>
      </c>
      <c r="N104" s="1">
        <v>6147.1</v>
      </c>
      <c r="O104" s="1" t="s">
        <v>13</v>
      </c>
      <c r="P104" s="1" t="s">
        <v>13</v>
      </c>
      <c r="Q104" s="1" t="s">
        <v>13</v>
      </c>
      <c r="R104" s="1" t="s">
        <v>13</v>
      </c>
      <c r="S104" s="1" t="s">
        <v>13</v>
      </c>
    </row>
    <row r="105" spans="1:21" ht="25.5" customHeight="1" x14ac:dyDescent="0.2">
      <c r="A105" s="159"/>
      <c r="B105" s="159"/>
      <c r="C105" s="160" t="s">
        <v>14</v>
      </c>
      <c r="D105" s="164">
        <v>801</v>
      </c>
      <c r="E105" s="97" t="s">
        <v>31</v>
      </c>
      <c r="F105" s="97" t="s">
        <v>134</v>
      </c>
      <c r="G105" s="97">
        <v>620</v>
      </c>
      <c r="H105" s="1">
        <v>8981.2000000000007</v>
      </c>
      <c r="I105" s="1">
        <v>8652.4</v>
      </c>
      <c r="J105" s="1">
        <v>6957.4</v>
      </c>
      <c r="K105" s="1">
        <v>6744.1</v>
      </c>
      <c r="L105" s="1">
        <f>[1]Лист1!$M$156/1000</f>
        <v>6433.9</v>
      </c>
      <c r="M105" s="1">
        <v>6147.1</v>
      </c>
      <c r="N105" s="1">
        <v>6147.1</v>
      </c>
      <c r="O105" s="1" t="s">
        <v>13</v>
      </c>
      <c r="P105" s="1" t="s">
        <v>13</v>
      </c>
      <c r="Q105" s="1" t="s">
        <v>13</v>
      </c>
      <c r="R105" s="1" t="s">
        <v>13</v>
      </c>
      <c r="S105" s="1" t="s">
        <v>13</v>
      </c>
    </row>
    <row r="106" spans="1:21" s="45" customFormat="1" ht="33.75" customHeight="1" x14ac:dyDescent="0.25">
      <c r="A106" s="159"/>
      <c r="B106" s="159"/>
      <c r="C106" s="161"/>
      <c r="D106" s="166"/>
      <c r="E106" s="97" t="s">
        <v>31</v>
      </c>
      <c r="F106" s="97" t="s">
        <v>135</v>
      </c>
      <c r="G106" s="97">
        <v>620</v>
      </c>
      <c r="H106" s="1">
        <f>20700+2300</f>
        <v>23000</v>
      </c>
      <c r="I106" s="1">
        <f>27620.6+3115.6</f>
        <v>30736.199999999997</v>
      </c>
      <c r="J106" s="1">
        <v>40813.300000000003</v>
      </c>
      <c r="K106" s="1">
        <v>26384.7</v>
      </c>
      <c r="L106" s="1">
        <f>[1]Лист1!$M$155/1000</f>
        <v>26384.7</v>
      </c>
      <c r="M106" s="1">
        <v>0</v>
      </c>
      <c r="N106" s="1">
        <v>0</v>
      </c>
      <c r="O106" s="1" t="s">
        <v>13</v>
      </c>
      <c r="P106" s="1" t="s">
        <v>13</v>
      </c>
      <c r="Q106" s="1" t="s">
        <v>13</v>
      </c>
      <c r="R106" s="1" t="s">
        <v>13</v>
      </c>
      <c r="S106" s="1" t="s">
        <v>13</v>
      </c>
      <c r="T106" s="65"/>
      <c r="U106" s="66"/>
    </row>
    <row r="107" spans="1:21" s="45" customFormat="1" ht="21" customHeight="1" x14ac:dyDescent="0.2">
      <c r="A107" s="159" t="s">
        <v>180</v>
      </c>
      <c r="B107" s="159" t="s">
        <v>214</v>
      </c>
      <c r="C107" s="84" t="s">
        <v>170</v>
      </c>
      <c r="D107" s="97" t="s">
        <v>13</v>
      </c>
      <c r="E107" s="97" t="s">
        <v>13</v>
      </c>
      <c r="F107" s="97" t="s">
        <v>13</v>
      </c>
      <c r="G107" s="97" t="s">
        <v>13</v>
      </c>
      <c r="H107" s="1">
        <f>SUM(H108)</f>
        <v>0</v>
      </c>
      <c r="I107" s="1">
        <f>SUM(I108)</f>
        <v>0</v>
      </c>
      <c r="J107" s="1">
        <f>SUM(J108)</f>
        <v>100</v>
      </c>
      <c r="K107" s="1">
        <f>SUM(K108)</f>
        <v>7437.1</v>
      </c>
      <c r="L107" s="1">
        <v>0</v>
      </c>
      <c r="M107" s="1">
        <v>0</v>
      </c>
      <c r="N107" s="1">
        <v>0</v>
      </c>
      <c r="O107" s="1" t="s">
        <v>13</v>
      </c>
      <c r="P107" s="1" t="s">
        <v>13</v>
      </c>
      <c r="Q107" s="1" t="s">
        <v>13</v>
      </c>
      <c r="R107" s="1" t="s">
        <v>13</v>
      </c>
      <c r="S107" s="1" t="s">
        <v>13</v>
      </c>
      <c r="T107" s="42"/>
      <c r="U107" s="42"/>
    </row>
    <row r="108" spans="1:21" s="45" customFormat="1" ht="45.75" customHeight="1" x14ac:dyDescent="0.2">
      <c r="A108" s="159"/>
      <c r="B108" s="159"/>
      <c r="C108" s="90" t="s">
        <v>14</v>
      </c>
      <c r="D108" s="97">
        <v>801</v>
      </c>
      <c r="E108" s="97" t="s">
        <v>13</v>
      </c>
      <c r="F108" s="97" t="s">
        <v>13</v>
      </c>
      <c r="G108" s="97" t="s">
        <v>13</v>
      </c>
      <c r="H108" s="1">
        <f>H109+H111+H113+H115</f>
        <v>0</v>
      </c>
      <c r="I108" s="1">
        <f>I109+I111+I113+I115</f>
        <v>0</v>
      </c>
      <c r="J108" s="1">
        <f>J109+J111+J113+J115</f>
        <v>100</v>
      </c>
      <c r="K108" s="1">
        <f>K109+K111+K113+K115</f>
        <v>7437.1</v>
      </c>
      <c r="L108" s="1">
        <f>L109+L111+L113+L115</f>
        <v>0</v>
      </c>
      <c r="M108" s="3">
        <v>0</v>
      </c>
      <c r="N108" s="3">
        <v>0</v>
      </c>
      <c r="O108" s="1" t="s">
        <v>13</v>
      </c>
      <c r="P108" s="1" t="s">
        <v>13</v>
      </c>
      <c r="Q108" s="1" t="s">
        <v>13</v>
      </c>
      <c r="R108" s="1" t="s">
        <v>13</v>
      </c>
      <c r="S108" s="1" t="s">
        <v>13</v>
      </c>
      <c r="T108" s="42"/>
      <c r="U108" s="42"/>
    </row>
    <row r="109" spans="1:21" ht="21" customHeight="1" x14ac:dyDescent="0.2">
      <c r="A109" s="160" t="s">
        <v>182</v>
      </c>
      <c r="B109" s="160" t="s">
        <v>215</v>
      </c>
      <c r="C109" s="84" t="s">
        <v>170</v>
      </c>
      <c r="D109" s="97" t="s">
        <v>13</v>
      </c>
      <c r="E109" s="97" t="s">
        <v>13</v>
      </c>
      <c r="F109" s="97" t="s">
        <v>13</v>
      </c>
      <c r="G109" s="97" t="s">
        <v>13</v>
      </c>
      <c r="H109" s="1">
        <f>SUM(H110)</f>
        <v>0</v>
      </c>
      <c r="I109" s="1">
        <f>SUM(I110)</f>
        <v>0</v>
      </c>
      <c r="J109" s="1">
        <f>SUM(J110)</f>
        <v>0</v>
      </c>
      <c r="K109" s="1">
        <f>SUM(K110)</f>
        <v>0</v>
      </c>
      <c r="L109" s="1">
        <v>0</v>
      </c>
      <c r="M109" s="1">
        <v>0</v>
      </c>
      <c r="N109" s="1">
        <v>0</v>
      </c>
      <c r="O109" s="1" t="s">
        <v>13</v>
      </c>
      <c r="P109" s="1" t="s">
        <v>13</v>
      </c>
      <c r="Q109" s="1" t="s">
        <v>13</v>
      </c>
      <c r="R109" s="1" t="s">
        <v>13</v>
      </c>
      <c r="S109" s="1" t="s">
        <v>13</v>
      </c>
    </row>
    <row r="110" spans="1:21" ht="45" customHeight="1" x14ac:dyDescent="0.2">
      <c r="A110" s="161"/>
      <c r="B110" s="161"/>
      <c r="C110" s="82" t="s">
        <v>14</v>
      </c>
      <c r="D110" s="97">
        <v>801</v>
      </c>
      <c r="E110" s="97" t="s">
        <v>13</v>
      </c>
      <c r="F110" s="97" t="s">
        <v>13</v>
      </c>
      <c r="G110" s="97" t="s">
        <v>13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 t="s">
        <v>13</v>
      </c>
      <c r="P110" s="1" t="s">
        <v>13</v>
      </c>
      <c r="Q110" s="1" t="s">
        <v>13</v>
      </c>
      <c r="R110" s="1" t="s">
        <v>13</v>
      </c>
      <c r="S110" s="1" t="s">
        <v>13</v>
      </c>
    </row>
    <row r="111" spans="1:21" ht="21" customHeight="1" x14ac:dyDescent="0.2">
      <c r="A111" s="159" t="s">
        <v>183</v>
      </c>
      <c r="B111" s="159" t="s">
        <v>216</v>
      </c>
      <c r="C111" s="84" t="s">
        <v>170</v>
      </c>
      <c r="D111" s="97" t="s">
        <v>13</v>
      </c>
      <c r="E111" s="97" t="s">
        <v>13</v>
      </c>
      <c r="F111" s="97" t="s">
        <v>13</v>
      </c>
      <c r="G111" s="97" t="s">
        <v>13</v>
      </c>
      <c r="H111" s="1">
        <f>SUM(H112)</f>
        <v>0</v>
      </c>
      <c r="I111" s="1">
        <f>SUM(I112)</f>
        <v>0</v>
      </c>
      <c r="J111" s="1">
        <f>SUM(J112)</f>
        <v>100</v>
      </c>
      <c r="K111" s="1">
        <f>SUM(K112)</f>
        <v>100</v>
      </c>
      <c r="L111" s="1">
        <v>0</v>
      </c>
      <c r="M111" s="1">
        <v>0</v>
      </c>
      <c r="N111" s="1">
        <v>0</v>
      </c>
      <c r="O111" s="1" t="s">
        <v>13</v>
      </c>
      <c r="P111" s="1" t="s">
        <v>13</v>
      </c>
      <c r="Q111" s="1" t="s">
        <v>13</v>
      </c>
      <c r="R111" s="1" t="s">
        <v>13</v>
      </c>
      <c r="S111" s="1" t="s">
        <v>13</v>
      </c>
    </row>
    <row r="112" spans="1:21" s="45" customFormat="1" ht="44.25" customHeight="1" x14ac:dyDescent="0.2">
      <c r="A112" s="159"/>
      <c r="B112" s="159"/>
      <c r="C112" s="82" t="s">
        <v>14</v>
      </c>
      <c r="D112" s="97">
        <v>801</v>
      </c>
      <c r="E112" s="97" t="s">
        <v>13</v>
      </c>
      <c r="F112" s="97" t="s">
        <v>13</v>
      </c>
      <c r="G112" s="97" t="s">
        <v>13</v>
      </c>
      <c r="H112" s="1">
        <v>0</v>
      </c>
      <c r="I112" s="1">
        <v>0</v>
      </c>
      <c r="J112" s="1">
        <v>100</v>
      </c>
      <c r="K112" s="1">
        <v>100</v>
      </c>
      <c r="L112" s="1">
        <v>0</v>
      </c>
      <c r="M112" s="1">
        <v>0</v>
      </c>
      <c r="N112" s="1">
        <v>0</v>
      </c>
      <c r="O112" s="1" t="s">
        <v>13</v>
      </c>
      <c r="P112" s="1" t="s">
        <v>13</v>
      </c>
      <c r="Q112" s="1" t="s">
        <v>13</v>
      </c>
      <c r="R112" s="1" t="s">
        <v>13</v>
      </c>
      <c r="S112" s="1" t="s">
        <v>13</v>
      </c>
      <c r="T112" s="42"/>
      <c r="U112" s="42"/>
    </row>
    <row r="113" spans="1:21" s="45" customFormat="1" ht="21" customHeight="1" x14ac:dyDescent="0.2">
      <c r="A113" s="159" t="s">
        <v>184</v>
      </c>
      <c r="B113" s="159" t="s">
        <v>217</v>
      </c>
      <c r="C113" s="84" t="s">
        <v>170</v>
      </c>
      <c r="D113" s="97" t="s">
        <v>13</v>
      </c>
      <c r="E113" s="97" t="s">
        <v>13</v>
      </c>
      <c r="F113" s="97" t="s">
        <v>13</v>
      </c>
      <c r="G113" s="97" t="s">
        <v>13</v>
      </c>
      <c r="H113" s="1">
        <f>SUM(H114)</f>
        <v>0</v>
      </c>
      <c r="I113" s="1">
        <f>SUM(I114)</f>
        <v>0</v>
      </c>
      <c r="J113" s="1">
        <f>SUM(J114)</f>
        <v>0</v>
      </c>
      <c r="K113" s="1">
        <f>SUM(K114)</f>
        <v>0</v>
      </c>
      <c r="L113" s="1">
        <v>0</v>
      </c>
      <c r="M113" s="1">
        <v>0</v>
      </c>
      <c r="N113" s="1">
        <v>0</v>
      </c>
      <c r="O113" s="1" t="s">
        <v>13</v>
      </c>
      <c r="P113" s="1" t="s">
        <v>13</v>
      </c>
      <c r="Q113" s="1" t="s">
        <v>13</v>
      </c>
      <c r="R113" s="1" t="s">
        <v>13</v>
      </c>
      <c r="S113" s="1" t="s">
        <v>13</v>
      </c>
      <c r="T113" s="42"/>
      <c r="U113" s="42"/>
    </row>
    <row r="114" spans="1:21" s="45" customFormat="1" ht="64.5" customHeight="1" x14ac:dyDescent="0.2">
      <c r="A114" s="159"/>
      <c r="B114" s="159"/>
      <c r="C114" s="82" t="s">
        <v>14</v>
      </c>
      <c r="D114" s="97">
        <v>801</v>
      </c>
      <c r="E114" s="97" t="s">
        <v>13</v>
      </c>
      <c r="F114" s="97" t="s">
        <v>13</v>
      </c>
      <c r="G114" s="97" t="s">
        <v>13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 t="s">
        <v>13</v>
      </c>
      <c r="P114" s="1" t="s">
        <v>13</v>
      </c>
      <c r="Q114" s="1" t="s">
        <v>13</v>
      </c>
      <c r="R114" s="1" t="s">
        <v>13</v>
      </c>
      <c r="S114" s="1" t="s">
        <v>13</v>
      </c>
      <c r="T114" s="42"/>
      <c r="U114" s="42"/>
    </row>
    <row r="115" spans="1:21" s="45" customFormat="1" ht="20.25" customHeight="1" x14ac:dyDescent="0.2">
      <c r="A115" s="160" t="s">
        <v>185</v>
      </c>
      <c r="B115" s="160" t="s">
        <v>186</v>
      </c>
      <c r="C115" s="130" t="s">
        <v>170</v>
      </c>
      <c r="D115" s="129" t="s">
        <v>13</v>
      </c>
      <c r="E115" s="129" t="s">
        <v>13</v>
      </c>
      <c r="F115" s="129" t="s">
        <v>13</v>
      </c>
      <c r="G115" s="129" t="s">
        <v>13</v>
      </c>
      <c r="H115" s="1">
        <f>SUM(H116)</f>
        <v>0</v>
      </c>
      <c r="I115" s="1">
        <f>SUM(I116)</f>
        <v>0</v>
      </c>
      <c r="J115" s="1">
        <f>SUM(J116)</f>
        <v>0</v>
      </c>
      <c r="K115" s="1">
        <f>SUM(K116)</f>
        <v>7337.1</v>
      </c>
      <c r="L115" s="1">
        <v>0</v>
      </c>
      <c r="M115" s="1">
        <v>0</v>
      </c>
      <c r="N115" s="1">
        <v>0</v>
      </c>
      <c r="O115" s="1" t="s">
        <v>13</v>
      </c>
      <c r="P115" s="1" t="s">
        <v>13</v>
      </c>
      <c r="Q115" s="1" t="s">
        <v>13</v>
      </c>
      <c r="R115" s="1" t="s">
        <v>13</v>
      </c>
      <c r="S115" s="1" t="s">
        <v>13</v>
      </c>
      <c r="T115" s="42"/>
      <c r="U115" s="42"/>
    </row>
    <row r="116" spans="1:21" s="45" customFormat="1" ht="58.5" customHeight="1" x14ac:dyDescent="0.2">
      <c r="A116" s="161"/>
      <c r="B116" s="161"/>
      <c r="C116" s="128" t="s">
        <v>14</v>
      </c>
      <c r="D116" s="129">
        <v>801</v>
      </c>
      <c r="E116" s="129" t="s">
        <v>31</v>
      </c>
      <c r="F116" s="129" t="s">
        <v>169</v>
      </c>
      <c r="G116" s="129">
        <v>620</v>
      </c>
      <c r="H116" s="1">
        <v>0</v>
      </c>
      <c r="I116" s="1">
        <v>0</v>
      </c>
      <c r="J116" s="1">
        <v>0</v>
      </c>
      <c r="K116" s="1">
        <v>7337.1</v>
      </c>
      <c r="L116" s="1">
        <v>0</v>
      </c>
      <c r="M116" s="1">
        <v>0</v>
      </c>
      <c r="N116" s="1">
        <v>0</v>
      </c>
      <c r="O116" s="1" t="s">
        <v>13</v>
      </c>
      <c r="P116" s="1" t="s">
        <v>13</v>
      </c>
      <c r="Q116" s="1" t="s">
        <v>13</v>
      </c>
      <c r="R116" s="1" t="s">
        <v>13</v>
      </c>
      <c r="S116" s="1" t="s">
        <v>13</v>
      </c>
      <c r="T116" s="42"/>
      <c r="U116" s="42"/>
    </row>
    <row r="117" spans="1:21" ht="19.5" customHeight="1" x14ac:dyDescent="0.2">
      <c r="A117" s="160" t="s">
        <v>156</v>
      </c>
      <c r="B117" s="160" t="s">
        <v>155</v>
      </c>
      <c r="C117" s="84" t="s">
        <v>170</v>
      </c>
      <c r="D117" s="97" t="s">
        <v>13</v>
      </c>
      <c r="E117" s="97" t="s">
        <v>13</v>
      </c>
      <c r="F117" s="97" t="s">
        <v>13</v>
      </c>
      <c r="G117" s="97" t="s">
        <v>13</v>
      </c>
      <c r="H117" s="1">
        <f>SUM(H118:H119)</f>
        <v>46430.5</v>
      </c>
      <c r="I117" s="1">
        <f>SUM(I118:I119)</f>
        <v>41650</v>
      </c>
      <c r="J117" s="1">
        <f>SUM(J118:J119)</f>
        <v>44877.8</v>
      </c>
      <c r="K117" s="1">
        <f>SUM(K118:K119)</f>
        <v>124845.14</v>
      </c>
      <c r="L117" s="1">
        <f>SUM(L118:L119)</f>
        <v>45997.5</v>
      </c>
      <c r="M117" s="1">
        <v>40492.699999999997</v>
      </c>
      <c r="N117" s="1">
        <v>39232.6</v>
      </c>
      <c r="O117" s="1" t="s">
        <v>13</v>
      </c>
      <c r="P117" s="1" t="s">
        <v>13</v>
      </c>
      <c r="Q117" s="1" t="s">
        <v>13</v>
      </c>
      <c r="R117" s="1" t="s">
        <v>13</v>
      </c>
      <c r="S117" s="1" t="s">
        <v>13</v>
      </c>
    </row>
    <row r="118" spans="1:21" s="47" customFormat="1" ht="43.5" customHeight="1" x14ac:dyDescent="0.2">
      <c r="A118" s="163"/>
      <c r="B118" s="163"/>
      <c r="C118" s="84" t="s">
        <v>14</v>
      </c>
      <c r="D118" s="97">
        <v>801</v>
      </c>
      <c r="E118" s="97" t="s">
        <v>13</v>
      </c>
      <c r="F118" s="97" t="s">
        <v>13</v>
      </c>
      <c r="G118" s="97" t="s">
        <v>13</v>
      </c>
      <c r="H118" s="1">
        <f>H121+H124</f>
        <v>46380.5</v>
      </c>
      <c r="I118" s="1">
        <f>I121+I124</f>
        <v>41650</v>
      </c>
      <c r="J118" s="1">
        <f>J121+J124</f>
        <v>44877.8</v>
      </c>
      <c r="K118" s="1">
        <f>K121+K124</f>
        <v>124845.14</v>
      </c>
      <c r="L118" s="1">
        <f>L121+L124</f>
        <v>45997.5</v>
      </c>
      <c r="M118" s="1">
        <v>40492.699999999997</v>
      </c>
      <c r="N118" s="1">
        <v>39232.6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</row>
    <row r="119" spans="1:21" s="47" customFormat="1" ht="58.5" customHeight="1" x14ac:dyDescent="0.2">
      <c r="A119" s="161"/>
      <c r="B119" s="161"/>
      <c r="C119" s="95" t="s">
        <v>20</v>
      </c>
      <c r="D119" s="93">
        <v>814</v>
      </c>
      <c r="E119" s="93" t="s">
        <v>13</v>
      </c>
      <c r="F119" s="93" t="s">
        <v>13</v>
      </c>
      <c r="G119" s="93" t="s">
        <v>13</v>
      </c>
      <c r="H119" s="1">
        <f>H122</f>
        <v>50</v>
      </c>
      <c r="I119" s="1">
        <f t="shared" ref="I119:N119" si="10">I122</f>
        <v>0</v>
      </c>
      <c r="J119" s="1">
        <f t="shared" si="10"/>
        <v>0</v>
      </c>
      <c r="K119" s="1">
        <f t="shared" si="10"/>
        <v>0</v>
      </c>
      <c r="L119" s="1">
        <f>L122</f>
        <v>0</v>
      </c>
      <c r="M119" s="1">
        <f t="shared" si="10"/>
        <v>0</v>
      </c>
      <c r="N119" s="1">
        <f t="shared" si="10"/>
        <v>0</v>
      </c>
      <c r="O119" s="1" t="s">
        <v>13</v>
      </c>
      <c r="P119" s="1" t="s">
        <v>13</v>
      </c>
      <c r="Q119" s="1" t="s">
        <v>13</v>
      </c>
      <c r="R119" s="1" t="s">
        <v>13</v>
      </c>
      <c r="S119" s="1" t="s">
        <v>13</v>
      </c>
    </row>
    <row r="120" spans="1:21" s="47" customFormat="1" ht="18.75" customHeight="1" x14ac:dyDescent="0.2">
      <c r="A120" s="160" t="s">
        <v>190</v>
      </c>
      <c r="B120" s="160" t="s">
        <v>218</v>
      </c>
      <c r="C120" s="84" t="s">
        <v>170</v>
      </c>
      <c r="D120" s="97" t="s">
        <v>13</v>
      </c>
      <c r="E120" s="97" t="s">
        <v>13</v>
      </c>
      <c r="F120" s="97" t="s">
        <v>13</v>
      </c>
      <c r="G120" s="97" t="s">
        <v>13</v>
      </c>
      <c r="H120" s="1">
        <f>SUM(H121:H122)</f>
        <v>46430.5</v>
      </c>
      <c r="I120" s="1">
        <f>SUM(I121:I122)</f>
        <v>41650</v>
      </c>
      <c r="J120" s="1">
        <f>SUM(J121:J122)</f>
        <v>44877.8</v>
      </c>
      <c r="K120" s="1">
        <f>SUM(K121:K122)</f>
        <v>43242</v>
      </c>
      <c r="L120" s="1">
        <f>SUM(L121)</f>
        <v>45997.5</v>
      </c>
      <c r="M120" s="1">
        <v>40492.699999999997</v>
      </c>
      <c r="N120" s="1">
        <v>39232.6</v>
      </c>
      <c r="O120" s="1" t="s">
        <v>13</v>
      </c>
      <c r="P120" s="1" t="s">
        <v>13</v>
      </c>
      <c r="Q120" s="1" t="s">
        <v>13</v>
      </c>
      <c r="R120" s="1" t="s">
        <v>13</v>
      </c>
      <c r="S120" s="1" t="s">
        <v>13</v>
      </c>
    </row>
    <row r="121" spans="1:21" ht="42.75" customHeight="1" x14ac:dyDescent="0.2">
      <c r="A121" s="163"/>
      <c r="B121" s="163"/>
      <c r="C121" s="82" t="s">
        <v>14</v>
      </c>
      <c r="D121" s="97">
        <v>801</v>
      </c>
      <c r="E121" s="4" t="s">
        <v>152</v>
      </c>
      <c r="F121" s="4" t="s">
        <v>166</v>
      </c>
      <c r="G121" s="97">
        <v>610</v>
      </c>
      <c r="H121" s="1">
        <f>46380.5</f>
        <v>46380.5</v>
      </c>
      <c r="I121" s="1">
        <f>41650</f>
        <v>41650</v>
      </c>
      <c r="J121" s="1">
        <f>44877.8</f>
        <v>44877.8</v>
      </c>
      <c r="K121" s="1">
        <f>43242</f>
        <v>43242</v>
      </c>
      <c r="L121" s="1">
        <f>[1]Лист1!$M$158/1000</f>
        <v>45997.5</v>
      </c>
      <c r="M121" s="1">
        <v>40492.699999999997</v>
      </c>
      <c r="N121" s="1">
        <v>39232.6</v>
      </c>
      <c r="O121" s="1" t="s">
        <v>13</v>
      </c>
      <c r="P121" s="1" t="s">
        <v>13</v>
      </c>
      <c r="Q121" s="1" t="s">
        <v>13</v>
      </c>
      <c r="R121" s="1" t="s">
        <v>13</v>
      </c>
      <c r="S121" s="1" t="s">
        <v>13</v>
      </c>
    </row>
    <row r="122" spans="1:21" ht="54.75" customHeight="1" x14ac:dyDescent="0.2">
      <c r="A122" s="161"/>
      <c r="B122" s="161"/>
      <c r="C122" s="95" t="s">
        <v>20</v>
      </c>
      <c r="D122" s="93">
        <v>814</v>
      </c>
      <c r="E122" s="93" t="s">
        <v>13</v>
      </c>
      <c r="F122" s="93" t="s">
        <v>13</v>
      </c>
      <c r="G122" s="93" t="s">
        <v>13</v>
      </c>
      <c r="H122" s="1">
        <v>50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 t="s">
        <v>13</v>
      </c>
      <c r="P122" s="1" t="s">
        <v>13</v>
      </c>
      <c r="Q122" s="1" t="s">
        <v>13</v>
      </c>
      <c r="R122" s="1" t="s">
        <v>13</v>
      </c>
      <c r="S122" s="1" t="s">
        <v>13</v>
      </c>
    </row>
    <row r="123" spans="1:21" ht="18.75" customHeight="1" x14ac:dyDescent="0.2">
      <c r="A123" s="159" t="s">
        <v>188</v>
      </c>
      <c r="B123" s="159" t="s">
        <v>219</v>
      </c>
      <c r="C123" s="84" t="s">
        <v>170</v>
      </c>
      <c r="D123" s="97" t="s">
        <v>13</v>
      </c>
      <c r="E123" s="97" t="s">
        <v>13</v>
      </c>
      <c r="F123" s="97" t="s">
        <v>13</v>
      </c>
      <c r="G123" s="97" t="s">
        <v>13</v>
      </c>
      <c r="H123" s="1">
        <f>SUM(H124)</f>
        <v>0</v>
      </c>
      <c r="I123" s="1">
        <f>SUM(I124)</f>
        <v>0</v>
      </c>
      <c r="J123" s="1">
        <f>SUM(J124)</f>
        <v>0</v>
      </c>
      <c r="K123" s="1">
        <f>SUM(K124)</f>
        <v>81603.14</v>
      </c>
      <c r="L123" s="1">
        <v>0</v>
      </c>
      <c r="M123" s="1">
        <v>0</v>
      </c>
      <c r="N123" s="1">
        <v>0</v>
      </c>
      <c r="O123" s="1" t="s">
        <v>13</v>
      </c>
      <c r="P123" s="1" t="s">
        <v>13</v>
      </c>
      <c r="Q123" s="1" t="s">
        <v>13</v>
      </c>
      <c r="R123" s="1" t="s">
        <v>13</v>
      </c>
      <c r="S123" s="1" t="s">
        <v>13</v>
      </c>
    </row>
    <row r="124" spans="1:21" ht="53.25" customHeight="1" x14ac:dyDescent="0.2">
      <c r="A124" s="159"/>
      <c r="B124" s="159"/>
      <c r="C124" s="82" t="s">
        <v>14</v>
      </c>
      <c r="D124" s="97">
        <v>801</v>
      </c>
      <c r="E124" s="97" t="s">
        <v>13</v>
      </c>
      <c r="F124" s="97" t="s">
        <v>13</v>
      </c>
      <c r="G124" s="97" t="s">
        <v>13</v>
      </c>
      <c r="H124" s="1">
        <v>0</v>
      </c>
      <c r="I124" s="1">
        <v>0</v>
      </c>
      <c r="J124" s="1">
        <v>0</v>
      </c>
      <c r="K124" s="1">
        <v>81603.14</v>
      </c>
      <c r="L124" s="1">
        <v>0</v>
      </c>
      <c r="M124" s="1">
        <v>0</v>
      </c>
      <c r="N124" s="1">
        <v>0</v>
      </c>
      <c r="O124" s="1" t="s">
        <v>13</v>
      </c>
      <c r="P124" s="1" t="s">
        <v>13</v>
      </c>
      <c r="Q124" s="1" t="s">
        <v>13</v>
      </c>
      <c r="R124" s="1" t="s">
        <v>13</v>
      </c>
      <c r="S124" s="1" t="s">
        <v>13</v>
      </c>
    </row>
    <row r="125" spans="1:21" ht="18" customHeight="1" x14ac:dyDescent="0.2">
      <c r="A125" s="178" t="s">
        <v>136</v>
      </c>
      <c r="B125" s="159" t="s">
        <v>222</v>
      </c>
      <c r="C125" s="88" t="s">
        <v>83</v>
      </c>
      <c r="D125" s="97" t="s">
        <v>13</v>
      </c>
      <c r="E125" s="97" t="s">
        <v>13</v>
      </c>
      <c r="F125" s="97" t="s">
        <v>13</v>
      </c>
      <c r="G125" s="97" t="s">
        <v>13</v>
      </c>
      <c r="H125" s="1">
        <f>SUM(H126:H128)</f>
        <v>0</v>
      </c>
      <c r="I125" s="1">
        <f>SUM(I126:I128)</f>
        <v>0</v>
      </c>
      <c r="J125" s="1">
        <f>SUM(J126:J128)</f>
        <v>86851.1</v>
      </c>
      <c r="K125" s="1">
        <f>SUM(K126:K128)</f>
        <v>93857.4</v>
      </c>
      <c r="L125" s="1">
        <f>SUM(L126:L128)</f>
        <v>96266.1</v>
      </c>
      <c r="M125" s="1">
        <v>78408.200000000012</v>
      </c>
      <c r="N125" s="1">
        <v>78623.3</v>
      </c>
      <c r="O125" s="1" t="s">
        <v>13</v>
      </c>
      <c r="P125" s="1" t="s">
        <v>13</v>
      </c>
      <c r="Q125" s="1" t="s">
        <v>13</v>
      </c>
      <c r="R125" s="1" t="s">
        <v>13</v>
      </c>
      <c r="S125" s="1" t="s">
        <v>13</v>
      </c>
    </row>
    <row r="126" spans="1:21" ht="25.5" x14ac:dyDescent="0.2">
      <c r="A126" s="179"/>
      <c r="B126" s="159"/>
      <c r="C126" s="159" t="s">
        <v>14</v>
      </c>
      <c r="D126" s="4">
        <v>801</v>
      </c>
      <c r="E126" s="4" t="s">
        <v>31</v>
      </c>
      <c r="F126" s="4" t="s">
        <v>137</v>
      </c>
      <c r="G126" s="97" t="s">
        <v>228</v>
      </c>
      <c r="H126" s="1">
        <f t="shared" ref="H126:H128" si="11">SUM(H127)</f>
        <v>0</v>
      </c>
      <c r="I126" s="1">
        <f t="shared" ref="I126:I128" si="12">SUM(I127)</f>
        <v>0</v>
      </c>
      <c r="J126" s="134">
        <v>29833.8</v>
      </c>
      <c r="K126" s="134">
        <v>28889.599999999999</v>
      </c>
      <c r="L126" s="3">
        <f>[1]Лист1!$M$165/1000</f>
        <v>45197</v>
      </c>
      <c r="M126" s="3">
        <v>28947.5</v>
      </c>
      <c r="N126" s="3">
        <v>28947.5</v>
      </c>
      <c r="O126" s="1" t="s">
        <v>13</v>
      </c>
      <c r="P126" s="1" t="s">
        <v>13</v>
      </c>
      <c r="Q126" s="1" t="s">
        <v>13</v>
      </c>
      <c r="R126" s="1" t="s">
        <v>13</v>
      </c>
      <c r="S126" s="1" t="s">
        <v>13</v>
      </c>
    </row>
    <row r="127" spans="1:21" ht="34.5" customHeight="1" x14ac:dyDescent="0.2">
      <c r="A127" s="179"/>
      <c r="B127" s="159"/>
      <c r="C127" s="159"/>
      <c r="D127" s="4">
        <v>801</v>
      </c>
      <c r="E127" s="4" t="s">
        <v>31</v>
      </c>
      <c r="F127" s="4" t="s">
        <v>138</v>
      </c>
      <c r="G127" s="97" t="s">
        <v>167</v>
      </c>
      <c r="H127" s="1">
        <f t="shared" si="11"/>
        <v>0</v>
      </c>
      <c r="I127" s="1">
        <f t="shared" si="12"/>
        <v>0</v>
      </c>
      <c r="J127" s="134">
        <v>4853.9000000000005</v>
      </c>
      <c r="K127" s="134">
        <v>5410.5</v>
      </c>
      <c r="L127" s="3">
        <f>[1]Лист1!$M$171/1000</f>
        <v>5418.9</v>
      </c>
      <c r="M127" s="3">
        <v>5691.4</v>
      </c>
      <c r="N127" s="3">
        <v>5906.5</v>
      </c>
      <c r="O127" s="1" t="s">
        <v>13</v>
      </c>
      <c r="P127" s="1" t="s">
        <v>13</v>
      </c>
      <c r="Q127" s="1" t="s">
        <v>13</v>
      </c>
      <c r="R127" s="1" t="s">
        <v>13</v>
      </c>
      <c r="S127" s="1" t="s">
        <v>13</v>
      </c>
    </row>
    <row r="128" spans="1:21" ht="30" customHeight="1" x14ac:dyDescent="0.2">
      <c r="A128" s="180"/>
      <c r="B128" s="159"/>
      <c r="C128" s="159"/>
      <c r="D128" s="4">
        <v>801</v>
      </c>
      <c r="E128" s="4" t="s">
        <v>31</v>
      </c>
      <c r="F128" s="4" t="s">
        <v>139</v>
      </c>
      <c r="G128" s="97" t="s">
        <v>61</v>
      </c>
      <c r="H128" s="1">
        <f t="shared" si="11"/>
        <v>0</v>
      </c>
      <c r="I128" s="1">
        <f t="shared" si="12"/>
        <v>0</v>
      </c>
      <c r="J128" s="134">
        <v>52163.4</v>
      </c>
      <c r="K128" s="134">
        <v>59557.3</v>
      </c>
      <c r="L128" s="3">
        <f>[1]Лист1!$M$187/1000</f>
        <v>45650.2</v>
      </c>
      <c r="M128" s="3">
        <v>43769.3</v>
      </c>
      <c r="N128" s="3">
        <v>43769.3</v>
      </c>
      <c r="O128" s="1" t="s">
        <v>13</v>
      </c>
      <c r="P128" s="1" t="s">
        <v>13</v>
      </c>
      <c r="Q128" s="1" t="s">
        <v>13</v>
      </c>
      <c r="R128" s="1" t="s">
        <v>13</v>
      </c>
      <c r="S128" s="1" t="s">
        <v>13</v>
      </c>
    </row>
    <row r="129" spans="1:19" ht="42" customHeight="1" x14ac:dyDescent="0.2">
      <c r="A129" s="162" t="s">
        <v>226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</row>
    <row r="130" spans="1:19" x14ac:dyDescent="0.2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78"/>
      <c r="R130" s="78"/>
      <c r="S130" s="155"/>
    </row>
    <row r="131" spans="1:19" x14ac:dyDescent="0.2">
      <c r="A131" s="75"/>
      <c r="B131" s="76"/>
      <c r="C131" s="61"/>
      <c r="D131" s="62"/>
      <c r="E131" s="62"/>
      <c r="F131" s="62"/>
      <c r="G131" s="62"/>
      <c r="H131" s="62"/>
      <c r="I131" s="62"/>
      <c r="J131" s="62"/>
      <c r="K131" s="62"/>
      <c r="L131" s="63"/>
      <c r="M131" s="74"/>
      <c r="N131" s="63"/>
      <c r="O131" s="77"/>
      <c r="P131" s="78"/>
      <c r="Q131" s="78"/>
      <c r="R131" s="78"/>
      <c r="S131" s="155"/>
    </row>
    <row r="135" spans="1:19" x14ac:dyDescent="0.2">
      <c r="L135" s="63"/>
      <c r="M135" s="74"/>
      <c r="N135" s="63"/>
      <c r="O135" s="77"/>
      <c r="P135" s="78"/>
      <c r="Q135" s="78"/>
      <c r="R135" s="78"/>
    </row>
    <row r="136" spans="1:19" x14ac:dyDescent="0.2">
      <c r="L136" s="63"/>
      <c r="M136" s="63"/>
      <c r="N136" s="63"/>
      <c r="O136" s="77"/>
      <c r="P136" s="77"/>
      <c r="Q136" s="77"/>
      <c r="R136" s="77"/>
    </row>
  </sheetData>
  <mergeCells count="85">
    <mergeCell ref="F56:F57"/>
    <mergeCell ref="G56:G57"/>
    <mergeCell ref="C52:C77"/>
    <mergeCell ref="D52:D77"/>
    <mergeCell ref="B99:B101"/>
    <mergeCell ref="B80:B91"/>
    <mergeCell ref="B93:B96"/>
    <mergeCell ref="E56:E57"/>
    <mergeCell ref="C100:C101"/>
    <mergeCell ref="A102:A103"/>
    <mergeCell ref="B102:B103"/>
    <mergeCell ref="A44:A46"/>
    <mergeCell ref="B44:B46"/>
    <mergeCell ref="A47:A50"/>
    <mergeCell ref="B47:B50"/>
    <mergeCell ref="A51:A77"/>
    <mergeCell ref="B51:B77"/>
    <mergeCell ref="A78:A79"/>
    <mergeCell ref="B78:B79"/>
    <mergeCell ref="C126:C128"/>
    <mergeCell ref="B125:B128"/>
    <mergeCell ref="A99:A101"/>
    <mergeCell ref="C33:C43"/>
    <mergeCell ref="D33:D43"/>
    <mergeCell ref="A32:A43"/>
    <mergeCell ref="B32:B43"/>
    <mergeCell ref="A113:A114"/>
    <mergeCell ref="B113:B114"/>
    <mergeCell ref="A125:A128"/>
    <mergeCell ref="A111:A112"/>
    <mergeCell ref="B111:B112"/>
    <mergeCell ref="B115:B116"/>
    <mergeCell ref="B120:B122"/>
    <mergeCell ref="A120:A122"/>
    <mergeCell ref="B117:B119"/>
    <mergeCell ref="A30:A31"/>
    <mergeCell ref="A8:A13"/>
    <mergeCell ref="B8:B13"/>
    <mergeCell ref="A19:A26"/>
    <mergeCell ref="B19:B26"/>
    <mergeCell ref="A14:A18"/>
    <mergeCell ref="B14:B18"/>
    <mergeCell ref="A27:A29"/>
    <mergeCell ref="B27:B29"/>
    <mergeCell ref="B30:B31"/>
    <mergeCell ref="O1:R1"/>
    <mergeCell ref="B3:R3"/>
    <mergeCell ref="C5:C6"/>
    <mergeCell ref="D5:G5"/>
    <mergeCell ref="H5:S5"/>
    <mergeCell ref="A1:N1"/>
    <mergeCell ref="A5:A6"/>
    <mergeCell ref="B5:B6"/>
    <mergeCell ref="C20:C24"/>
    <mergeCell ref="D20:D24"/>
    <mergeCell ref="A117:A119"/>
    <mergeCell ref="D81:D87"/>
    <mergeCell ref="D88:D91"/>
    <mergeCell ref="D94:D95"/>
    <mergeCell ref="C94:C95"/>
    <mergeCell ref="C105:C106"/>
    <mergeCell ref="D105:D106"/>
    <mergeCell ref="A107:A108"/>
    <mergeCell ref="A104:A106"/>
    <mergeCell ref="B104:B106"/>
    <mergeCell ref="C81:C87"/>
    <mergeCell ref="A80:A91"/>
    <mergeCell ref="C88:C91"/>
    <mergeCell ref="A93:A96"/>
    <mergeCell ref="S130:S131"/>
    <mergeCell ref="O56:O57"/>
    <mergeCell ref="P56:P57"/>
    <mergeCell ref="Q56:Q57"/>
    <mergeCell ref="R56:R57"/>
    <mergeCell ref="S56:S57"/>
    <mergeCell ref="A130:P130"/>
    <mergeCell ref="A97:A98"/>
    <mergeCell ref="B97:B98"/>
    <mergeCell ref="B107:B108"/>
    <mergeCell ref="A109:A110"/>
    <mergeCell ref="B109:B110"/>
    <mergeCell ref="A123:A124"/>
    <mergeCell ref="B123:B124"/>
    <mergeCell ref="A115:A116"/>
    <mergeCell ref="A129:S129"/>
  </mergeCells>
  <pageMargins left="0.31496062992125984" right="0.31496062992125984" top="0.74803149606299213" bottom="0.74803149606299213" header="0.31496062992125984" footer="0.31496062992125984"/>
  <pageSetup paperSize="9" scale="54" fitToHeight="0" orientation="landscape" r:id="rId1"/>
  <rowBreaks count="4" manualBreakCount="4">
    <brk id="26" max="18" man="1"/>
    <brk id="50" max="18" man="1"/>
    <brk id="87" max="18" man="1"/>
    <brk id="11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86"/>
  <sheetViews>
    <sheetView view="pageBreakPreview" topLeftCell="A58" zoomScale="87" zoomScaleNormal="100" zoomScaleSheetLayoutView="87" workbookViewId="0">
      <selection activeCell="H62" sqref="H62"/>
    </sheetView>
  </sheetViews>
  <sheetFormatPr defaultColWidth="9.140625" defaultRowHeight="12.75" x14ac:dyDescent="0.2"/>
  <cols>
    <col min="1" max="1" width="13.28515625" style="6" customWidth="1"/>
    <col min="2" max="2" width="36.85546875" style="5" customWidth="1"/>
    <col min="3" max="3" width="23.28515625" style="6" customWidth="1"/>
    <col min="4" max="7" width="9.28515625" style="6" bestFit="1" customWidth="1"/>
    <col min="8" max="8" width="11.85546875" style="7" customWidth="1"/>
    <col min="9" max="9" width="13.5703125" style="6" customWidth="1"/>
    <col min="10" max="10" width="11.28515625" style="8" customWidth="1"/>
    <col min="11" max="11" width="11.140625" style="8" customWidth="1"/>
    <col min="12" max="12" width="11.7109375" style="7" customWidth="1"/>
    <col min="13" max="13" width="11.140625" style="7" customWidth="1"/>
    <col min="14" max="14" width="11.7109375" style="7" customWidth="1"/>
    <col min="15" max="15" width="10" style="16" bestFit="1" customWidth="1"/>
    <col min="16" max="17" width="11.140625" style="6" bestFit="1" customWidth="1"/>
    <col min="18" max="16384" width="9.140625" style="6"/>
  </cols>
  <sheetData>
    <row r="1" spans="1:17" ht="15" customHeight="1" x14ac:dyDescent="0.2">
      <c r="K1" s="205" t="s">
        <v>109</v>
      </c>
      <c r="L1" s="206"/>
      <c r="M1" s="206"/>
      <c r="N1" s="206"/>
    </row>
    <row r="2" spans="1:17" ht="25.5" customHeight="1" x14ac:dyDescent="0.3"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7" ht="13.5" thickBot="1" x14ac:dyDescent="0.25"/>
    <row r="4" spans="1:17" ht="108.75" customHeight="1" x14ac:dyDescent="0.2">
      <c r="A4" s="209" t="s">
        <v>1</v>
      </c>
      <c r="B4" s="211" t="s">
        <v>2</v>
      </c>
      <c r="C4" s="203" t="s">
        <v>3</v>
      </c>
      <c r="D4" s="203" t="s">
        <v>4</v>
      </c>
      <c r="E4" s="203"/>
      <c r="F4" s="203"/>
      <c r="G4" s="203"/>
      <c r="H4" s="203" t="s">
        <v>5</v>
      </c>
      <c r="I4" s="203"/>
      <c r="J4" s="203"/>
      <c r="K4" s="203"/>
      <c r="L4" s="203"/>
      <c r="M4" s="203"/>
      <c r="N4" s="203"/>
    </row>
    <row r="5" spans="1:17" ht="21.75" customHeight="1" thickBot="1" x14ac:dyDescent="0.25">
      <c r="A5" s="210"/>
      <c r="B5" s="212"/>
      <c r="C5" s="203"/>
      <c r="D5" s="2" t="s">
        <v>6</v>
      </c>
      <c r="E5" s="2" t="s">
        <v>7</v>
      </c>
      <c r="F5" s="2" t="s">
        <v>8</v>
      </c>
      <c r="G5" s="2" t="s">
        <v>9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P5" s="7"/>
    </row>
    <row r="6" spans="1:17" ht="13.5" thickBot="1" x14ac:dyDescent="0.25">
      <c r="A6" s="17">
        <v>1</v>
      </c>
      <c r="B6" s="18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17" x14ac:dyDescent="0.2">
      <c r="A7" s="187" t="s">
        <v>10</v>
      </c>
      <c r="B7" s="189" t="s">
        <v>11</v>
      </c>
      <c r="C7" s="19" t="s">
        <v>12</v>
      </c>
      <c r="D7" s="2" t="s">
        <v>13</v>
      </c>
      <c r="E7" s="2" t="s">
        <v>13</v>
      </c>
      <c r="F7" s="2" t="s">
        <v>13</v>
      </c>
      <c r="G7" s="2" t="s">
        <v>13</v>
      </c>
      <c r="H7" s="36">
        <f>H8+H12+H13+H14+H15</f>
        <v>7509925.2197900005</v>
      </c>
      <c r="I7" s="36">
        <f t="shared" ref="I7:N7" si="0">I8+I12+I13+I14+I15</f>
        <v>6819704.7632200001</v>
      </c>
      <c r="J7" s="36">
        <f t="shared" si="0"/>
        <v>6561522.5000000009</v>
      </c>
      <c r="K7" s="36">
        <f t="shared" si="0"/>
        <v>5715693.3000000007</v>
      </c>
      <c r="L7" s="36">
        <f t="shared" si="0"/>
        <v>5715693.3000000007</v>
      </c>
      <c r="M7" s="36">
        <f t="shared" si="0"/>
        <v>5715693.3000000007</v>
      </c>
      <c r="N7" s="36">
        <f t="shared" si="0"/>
        <v>5715693.3000000007</v>
      </c>
    </row>
    <row r="8" spans="1:17" ht="36.75" customHeight="1" x14ac:dyDescent="0.2">
      <c r="A8" s="201"/>
      <c r="B8" s="202"/>
      <c r="C8" s="19" t="s">
        <v>14</v>
      </c>
      <c r="D8" s="2">
        <v>801</v>
      </c>
      <c r="E8" s="2" t="s">
        <v>13</v>
      </c>
      <c r="F8" s="2" t="s">
        <v>13</v>
      </c>
      <c r="G8" s="2" t="s">
        <v>13</v>
      </c>
      <c r="H8" s="1">
        <f>H9</f>
        <v>7402590.1197900008</v>
      </c>
      <c r="I8" s="1">
        <f t="shared" ref="I8:N8" si="1">I9</f>
        <v>6693495.3632199997</v>
      </c>
      <c r="J8" s="1">
        <f t="shared" si="1"/>
        <v>6412053.2000000011</v>
      </c>
      <c r="K8" s="1">
        <f t="shared" si="1"/>
        <v>5625325.9000000004</v>
      </c>
      <c r="L8" s="1">
        <f t="shared" si="1"/>
        <v>5625325.9000000004</v>
      </c>
      <c r="M8" s="1">
        <f t="shared" si="1"/>
        <v>5625325.9000000004</v>
      </c>
      <c r="N8" s="1">
        <f t="shared" si="1"/>
        <v>5625325.9000000004</v>
      </c>
      <c r="O8" s="20"/>
    </row>
    <row r="9" spans="1:17" ht="25.5" x14ac:dyDescent="0.2">
      <c r="A9" s="201"/>
      <c r="B9" s="202"/>
      <c r="C9" s="19" t="s">
        <v>15</v>
      </c>
      <c r="D9" s="2">
        <v>801</v>
      </c>
      <c r="E9" s="2" t="s">
        <v>13</v>
      </c>
      <c r="F9" s="2" t="s">
        <v>13</v>
      </c>
      <c r="G9" s="2" t="s">
        <v>13</v>
      </c>
      <c r="H9" s="1">
        <f>H18+H34+H84</f>
        <v>7402590.1197900008</v>
      </c>
      <c r="I9" s="1">
        <f t="shared" ref="I9:N9" si="2">I18+I34+I84</f>
        <v>6693495.3632199997</v>
      </c>
      <c r="J9" s="1">
        <f t="shared" si="2"/>
        <v>6412053.2000000011</v>
      </c>
      <c r="K9" s="1">
        <f t="shared" si="2"/>
        <v>5625325.9000000004</v>
      </c>
      <c r="L9" s="1">
        <f t="shared" si="2"/>
        <v>5625325.9000000004</v>
      </c>
      <c r="M9" s="1">
        <f t="shared" si="2"/>
        <v>5625325.9000000004</v>
      </c>
      <c r="N9" s="1">
        <f t="shared" si="2"/>
        <v>5625325.9000000004</v>
      </c>
      <c r="P9" s="7"/>
      <c r="Q9" s="7"/>
    </row>
    <row r="10" spans="1:17" ht="102" hidden="1" customHeight="1" x14ac:dyDescent="0.2">
      <c r="A10" s="201"/>
      <c r="B10" s="202"/>
      <c r="C10" s="19" t="s">
        <v>16</v>
      </c>
      <c r="D10" s="2">
        <v>801</v>
      </c>
      <c r="E10" s="2" t="s">
        <v>13</v>
      </c>
      <c r="F10" s="2" t="s">
        <v>13</v>
      </c>
      <c r="G10" s="2" t="s">
        <v>13</v>
      </c>
      <c r="H10" s="14">
        <v>33194</v>
      </c>
      <c r="I10" s="14">
        <f>27281.3+2747.6+113.7</f>
        <v>30142.6</v>
      </c>
      <c r="J10" s="14">
        <f>27670.7+2556.2+113.7</f>
        <v>30340.600000000002</v>
      </c>
      <c r="K10" s="14">
        <v>30340.600000000002</v>
      </c>
      <c r="L10" s="14">
        <v>30340.600000000002</v>
      </c>
      <c r="M10" s="14">
        <v>30340.600000000002</v>
      </c>
      <c r="N10" s="14">
        <v>30340.600000000002</v>
      </c>
    </row>
    <row r="11" spans="1:17" ht="96.75" hidden="1" customHeight="1" x14ac:dyDescent="0.2">
      <c r="A11" s="201"/>
      <c r="B11" s="202"/>
      <c r="C11" s="19" t="s">
        <v>17</v>
      </c>
      <c r="D11" s="2">
        <v>801</v>
      </c>
      <c r="E11" s="2" t="s">
        <v>13</v>
      </c>
      <c r="F11" s="2" t="s">
        <v>13</v>
      </c>
      <c r="G11" s="2" t="s">
        <v>13</v>
      </c>
      <c r="H11" s="14">
        <v>8323.9</v>
      </c>
      <c r="I11" s="14">
        <f>5446.4+457.4</f>
        <v>5903.7999999999993</v>
      </c>
      <c r="J11" s="14">
        <f>6009.8+411.3</f>
        <v>6421.1</v>
      </c>
      <c r="K11" s="14">
        <f>6121.8+821.1</f>
        <v>6942.9000000000005</v>
      </c>
      <c r="L11" s="14">
        <f>6121.8+821.1</f>
        <v>6942.9000000000005</v>
      </c>
      <c r="M11" s="14">
        <f>6121.8+821.1</f>
        <v>6942.9000000000005</v>
      </c>
      <c r="N11" s="14">
        <f>6121.8+821.1</f>
        <v>6942.9000000000005</v>
      </c>
    </row>
    <row r="12" spans="1:17" ht="51" x14ac:dyDescent="0.2">
      <c r="A12" s="201"/>
      <c r="B12" s="202"/>
      <c r="C12" s="19" t="s">
        <v>18</v>
      </c>
      <c r="D12" s="2">
        <v>800</v>
      </c>
      <c r="E12" s="2" t="s">
        <v>13</v>
      </c>
      <c r="F12" s="2" t="s">
        <v>13</v>
      </c>
      <c r="G12" s="2" t="s">
        <v>13</v>
      </c>
      <c r="H12" s="1">
        <f t="shared" ref="H12:N13" si="3">H19</f>
        <v>50689.1</v>
      </c>
      <c r="I12" s="1">
        <f t="shared" si="3"/>
        <v>41269.9</v>
      </c>
      <c r="J12" s="1">
        <f t="shared" si="3"/>
        <v>48308.800000000003</v>
      </c>
      <c r="K12" s="1">
        <f t="shared" si="3"/>
        <v>39514.400000000001</v>
      </c>
      <c r="L12" s="1">
        <f t="shared" si="3"/>
        <v>39514.400000000001</v>
      </c>
      <c r="M12" s="1">
        <f t="shared" si="3"/>
        <v>39514.400000000001</v>
      </c>
      <c r="N12" s="1">
        <f t="shared" si="3"/>
        <v>39514.400000000001</v>
      </c>
    </row>
    <row r="13" spans="1:17" ht="25.5" x14ac:dyDescent="0.2">
      <c r="A13" s="201"/>
      <c r="B13" s="202"/>
      <c r="C13" s="19" t="s">
        <v>19</v>
      </c>
      <c r="D13" s="2">
        <v>802</v>
      </c>
      <c r="E13" s="2" t="s">
        <v>13</v>
      </c>
      <c r="F13" s="2" t="s">
        <v>13</v>
      </c>
      <c r="G13" s="2" t="s">
        <v>13</v>
      </c>
      <c r="H13" s="1">
        <f t="shared" si="3"/>
        <v>56596</v>
      </c>
      <c r="I13" s="1">
        <f t="shared" si="3"/>
        <v>54197</v>
      </c>
      <c r="J13" s="1">
        <f t="shared" si="3"/>
        <v>50853</v>
      </c>
      <c r="K13" s="1">
        <f t="shared" si="3"/>
        <v>50853</v>
      </c>
      <c r="L13" s="1">
        <f t="shared" si="3"/>
        <v>50853</v>
      </c>
      <c r="M13" s="1">
        <f t="shared" si="3"/>
        <v>50853</v>
      </c>
      <c r="N13" s="1">
        <f t="shared" si="3"/>
        <v>50853</v>
      </c>
    </row>
    <row r="14" spans="1:17" ht="51" x14ac:dyDescent="0.2">
      <c r="A14" s="201"/>
      <c r="B14" s="202"/>
      <c r="C14" s="19" t="s">
        <v>20</v>
      </c>
      <c r="D14" s="2">
        <v>814</v>
      </c>
      <c r="E14" s="2" t="s">
        <v>13</v>
      </c>
      <c r="F14" s="2" t="s">
        <v>13</v>
      </c>
      <c r="G14" s="2" t="s">
        <v>13</v>
      </c>
      <c r="H14" s="1">
        <f t="shared" ref="H14:N14" si="4">H36</f>
        <v>50</v>
      </c>
      <c r="I14" s="2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</row>
    <row r="15" spans="1:17" ht="67.5" customHeight="1" x14ac:dyDescent="0.2">
      <c r="A15" s="201"/>
      <c r="B15" s="202"/>
      <c r="C15" s="19" t="s">
        <v>21</v>
      </c>
      <c r="D15" s="2">
        <v>811</v>
      </c>
      <c r="E15" s="2" t="s">
        <v>13</v>
      </c>
      <c r="F15" s="2" t="s">
        <v>13</v>
      </c>
      <c r="G15" s="2" t="s">
        <v>13</v>
      </c>
      <c r="H15" s="1">
        <f t="shared" ref="H15:N15" si="5">H21+H37</f>
        <v>0</v>
      </c>
      <c r="I15" s="2">
        <f t="shared" si="5"/>
        <v>30742.5</v>
      </c>
      <c r="J15" s="1">
        <f t="shared" si="5"/>
        <v>50307.5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1">
        <f t="shared" si="5"/>
        <v>0</v>
      </c>
    </row>
    <row r="16" spans="1:17" s="23" customFormat="1" ht="12.75" customHeight="1" x14ac:dyDescent="0.2">
      <c r="A16" s="203" t="s">
        <v>22</v>
      </c>
      <c r="B16" s="213" t="s">
        <v>23</v>
      </c>
      <c r="C16" s="21" t="s">
        <v>24</v>
      </c>
      <c r="D16" s="203" t="s">
        <v>13</v>
      </c>
      <c r="E16" s="203" t="s">
        <v>13</v>
      </c>
      <c r="F16" s="203" t="s">
        <v>13</v>
      </c>
      <c r="G16" s="203" t="s">
        <v>13</v>
      </c>
      <c r="H16" s="204">
        <f t="shared" ref="H16:N16" si="6">H18+H19+H20+H21</f>
        <v>875406.1</v>
      </c>
      <c r="I16" s="204">
        <f t="shared" si="6"/>
        <v>745416.4</v>
      </c>
      <c r="J16" s="204">
        <f t="shared" si="6"/>
        <v>857700.3</v>
      </c>
      <c r="K16" s="204">
        <f t="shared" si="6"/>
        <v>723327.50000000012</v>
      </c>
      <c r="L16" s="204">
        <f t="shared" si="6"/>
        <v>723327.50000000012</v>
      </c>
      <c r="M16" s="204">
        <f t="shared" si="6"/>
        <v>723327.50000000012</v>
      </c>
      <c r="N16" s="204">
        <f t="shared" si="6"/>
        <v>723327.50000000012</v>
      </c>
      <c r="O16" s="22"/>
    </row>
    <row r="17" spans="1:14" ht="15" customHeight="1" x14ac:dyDescent="0.2">
      <c r="A17" s="203"/>
      <c r="B17" s="213"/>
      <c r="C17" s="19" t="s">
        <v>25</v>
      </c>
      <c r="D17" s="203"/>
      <c r="E17" s="203"/>
      <c r="F17" s="203"/>
      <c r="G17" s="203"/>
      <c r="H17" s="204"/>
      <c r="I17" s="204"/>
      <c r="J17" s="204"/>
      <c r="K17" s="204"/>
      <c r="L17" s="204"/>
      <c r="M17" s="204"/>
      <c r="N17" s="204"/>
    </row>
    <row r="18" spans="1:14" ht="40.5" customHeight="1" x14ac:dyDescent="0.2">
      <c r="A18" s="203"/>
      <c r="B18" s="213"/>
      <c r="C18" s="19" t="s">
        <v>14</v>
      </c>
      <c r="D18" s="2">
        <v>801</v>
      </c>
      <c r="E18" s="2" t="s">
        <v>13</v>
      </c>
      <c r="F18" s="2" t="s">
        <v>13</v>
      </c>
      <c r="G18" s="2" t="s">
        <v>13</v>
      </c>
      <c r="H18" s="1">
        <f t="shared" ref="H18:N18" si="7">H22+H23+H24+H25+H26+H29+H30+H31</f>
        <v>768121</v>
      </c>
      <c r="I18" s="1">
        <f t="shared" si="7"/>
        <v>649949.5</v>
      </c>
      <c r="J18" s="1">
        <f t="shared" si="7"/>
        <v>758538.5</v>
      </c>
      <c r="K18" s="1">
        <f t="shared" si="7"/>
        <v>632960.10000000009</v>
      </c>
      <c r="L18" s="1">
        <f t="shared" si="7"/>
        <v>632960.10000000009</v>
      </c>
      <c r="M18" s="1">
        <f t="shared" si="7"/>
        <v>632960.10000000009</v>
      </c>
      <c r="N18" s="1">
        <f t="shared" si="7"/>
        <v>632960.10000000009</v>
      </c>
    </row>
    <row r="19" spans="1:14" ht="51" x14ac:dyDescent="0.2">
      <c r="A19" s="203"/>
      <c r="B19" s="213"/>
      <c r="C19" s="19" t="s">
        <v>18</v>
      </c>
      <c r="D19" s="2">
        <v>800</v>
      </c>
      <c r="E19" s="2" t="s">
        <v>13</v>
      </c>
      <c r="F19" s="2" t="s">
        <v>13</v>
      </c>
      <c r="G19" s="2" t="s">
        <v>13</v>
      </c>
      <c r="H19" s="1">
        <v>50689.1</v>
      </c>
      <c r="I19" s="1">
        <v>41269.9</v>
      </c>
      <c r="J19" s="1">
        <v>48308.800000000003</v>
      </c>
      <c r="K19" s="1">
        <v>39514.400000000001</v>
      </c>
      <c r="L19" s="1">
        <v>39514.400000000001</v>
      </c>
      <c r="M19" s="1">
        <v>39514.400000000001</v>
      </c>
      <c r="N19" s="1">
        <v>39514.400000000001</v>
      </c>
    </row>
    <row r="20" spans="1:14" ht="25.5" x14ac:dyDescent="0.2">
      <c r="A20" s="203"/>
      <c r="B20" s="213"/>
      <c r="C20" s="19" t="s">
        <v>19</v>
      </c>
      <c r="D20" s="2">
        <v>802</v>
      </c>
      <c r="E20" s="2" t="s">
        <v>13</v>
      </c>
      <c r="F20" s="2" t="s">
        <v>13</v>
      </c>
      <c r="G20" s="2" t="s">
        <v>13</v>
      </c>
      <c r="H20" s="1">
        <v>56596</v>
      </c>
      <c r="I20" s="1">
        <v>54197</v>
      </c>
      <c r="J20" s="1">
        <v>50853</v>
      </c>
      <c r="K20" s="1">
        <v>50853</v>
      </c>
      <c r="L20" s="1">
        <v>50853</v>
      </c>
      <c r="M20" s="1">
        <v>50853</v>
      </c>
      <c r="N20" s="1">
        <v>50853</v>
      </c>
    </row>
    <row r="21" spans="1:14" ht="66" customHeight="1" x14ac:dyDescent="0.2">
      <c r="A21" s="203"/>
      <c r="B21" s="213"/>
      <c r="C21" s="24" t="s">
        <v>21</v>
      </c>
      <c r="D21" s="13">
        <v>811</v>
      </c>
      <c r="E21" s="2" t="s">
        <v>13</v>
      </c>
      <c r="F21" s="2" t="s">
        <v>13</v>
      </c>
      <c r="G21" s="2" t="s">
        <v>13</v>
      </c>
      <c r="H21" s="1">
        <f t="shared" ref="H21:N21" si="8">H32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8"/>
        <v>0</v>
      </c>
      <c r="M21" s="1">
        <f t="shared" si="8"/>
        <v>0</v>
      </c>
      <c r="N21" s="1">
        <f t="shared" si="8"/>
        <v>0</v>
      </c>
    </row>
    <row r="22" spans="1:14" ht="57.75" customHeight="1" x14ac:dyDescent="0.2">
      <c r="A22" s="201" t="s">
        <v>110</v>
      </c>
      <c r="B22" s="202" t="s">
        <v>86</v>
      </c>
      <c r="C22" s="181" t="s">
        <v>14</v>
      </c>
      <c r="D22" s="164">
        <v>801</v>
      </c>
      <c r="E22" s="2" t="s">
        <v>26</v>
      </c>
      <c r="F22" s="2" t="s">
        <v>27</v>
      </c>
      <c r="G22" s="2">
        <v>610</v>
      </c>
      <c r="H22" s="1">
        <f>330548.4-18.75</f>
        <v>330529.65000000002</v>
      </c>
      <c r="I22" s="2">
        <f>259311.1-35</f>
        <v>259276.1</v>
      </c>
      <c r="J22" s="1">
        <v>301855.5</v>
      </c>
      <c r="K22" s="1">
        <v>252744.7</v>
      </c>
      <c r="L22" s="1">
        <v>252744.7</v>
      </c>
      <c r="M22" s="1">
        <v>252744.7</v>
      </c>
      <c r="N22" s="1">
        <v>252744.7</v>
      </c>
    </row>
    <row r="23" spans="1:14" ht="58.5" customHeight="1" x14ac:dyDescent="0.2">
      <c r="A23" s="201"/>
      <c r="B23" s="202"/>
      <c r="C23" s="182"/>
      <c r="D23" s="165"/>
      <c r="E23" s="2" t="s">
        <v>26</v>
      </c>
      <c r="F23" s="2" t="s">
        <v>27</v>
      </c>
      <c r="G23" s="2">
        <v>620</v>
      </c>
      <c r="H23" s="1">
        <f>435899.8-155.375</f>
        <v>435744.42499999999</v>
      </c>
      <c r="I23" s="2">
        <f>389039.4-20</f>
        <v>389019.4</v>
      </c>
      <c r="J23" s="1">
        <v>455883</v>
      </c>
      <c r="K23" s="1">
        <v>380215.4</v>
      </c>
      <c r="L23" s="1">
        <v>380215.4</v>
      </c>
      <c r="M23" s="1">
        <v>380215.4</v>
      </c>
      <c r="N23" s="1">
        <v>380215.4</v>
      </c>
    </row>
    <row r="24" spans="1:14" ht="46.5" customHeight="1" x14ac:dyDescent="0.2">
      <c r="A24" s="201"/>
      <c r="B24" s="202"/>
      <c r="C24" s="182"/>
      <c r="D24" s="165"/>
      <c r="E24" s="2" t="s">
        <v>26</v>
      </c>
      <c r="F24" s="2" t="s">
        <v>28</v>
      </c>
      <c r="G24" s="2" t="s">
        <v>29</v>
      </c>
      <c r="H24" s="1">
        <v>174.125</v>
      </c>
      <c r="I24" s="2">
        <f>95+20+35</f>
        <v>150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49.5" customHeight="1" x14ac:dyDescent="0.2">
      <c r="A25" s="201"/>
      <c r="B25" s="202"/>
      <c r="C25" s="182"/>
      <c r="D25" s="165"/>
      <c r="E25" s="2" t="s">
        <v>26</v>
      </c>
      <c r="F25" s="2" t="s">
        <v>30</v>
      </c>
      <c r="G25" s="2">
        <v>340</v>
      </c>
      <c r="H25" s="1">
        <v>832.8</v>
      </c>
      <c r="I25" s="2">
        <v>704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45" customHeight="1" x14ac:dyDescent="0.2">
      <c r="A26" s="201"/>
      <c r="B26" s="202"/>
      <c r="C26" s="183"/>
      <c r="D26" s="166"/>
      <c r="E26" s="2" t="s">
        <v>31</v>
      </c>
      <c r="F26" s="2" t="s">
        <v>32</v>
      </c>
      <c r="G26" s="2">
        <v>340</v>
      </c>
      <c r="H26" s="1">
        <v>840</v>
      </c>
      <c r="I26" s="2">
        <v>800</v>
      </c>
      <c r="J26" s="1">
        <v>800</v>
      </c>
      <c r="K26" s="1">
        <v>0</v>
      </c>
      <c r="L26" s="1">
        <v>0</v>
      </c>
      <c r="M26" s="1">
        <v>0</v>
      </c>
      <c r="N26" s="1">
        <v>0</v>
      </c>
    </row>
    <row r="27" spans="1:14" ht="88.5" customHeight="1" x14ac:dyDescent="0.2">
      <c r="A27" s="201"/>
      <c r="B27" s="202"/>
      <c r="C27" s="19" t="s">
        <v>18</v>
      </c>
      <c r="D27" s="2">
        <v>800</v>
      </c>
      <c r="E27" s="2" t="s">
        <v>26</v>
      </c>
      <c r="F27" s="2" t="s">
        <v>33</v>
      </c>
      <c r="G27" s="2">
        <v>620</v>
      </c>
      <c r="H27" s="1">
        <v>50689.1</v>
      </c>
      <c r="I27" s="10">
        <v>41269</v>
      </c>
      <c r="J27" s="1">
        <v>48308.800000000003</v>
      </c>
      <c r="K27" s="1">
        <v>39514.400000000001</v>
      </c>
      <c r="L27" s="1">
        <v>39514.400000000001</v>
      </c>
      <c r="M27" s="1">
        <v>39514.400000000001</v>
      </c>
      <c r="N27" s="1">
        <v>39514.400000000001</v>
      </c>
    </row>
    <row r="28" spans="1:14" ht="66" customHeight="1" thickBot="1" x14ac:dyDescent="0.25">
      <c r="A28" s="188"/>
      <c r="B28" s="190"/>
      <c r="C28" s="19" t="s">
        <v>19</v>
      </c>
      <c r="D28" s="2">
        <v>802</v>
      </c>
      <c r="E28" s="2" t="s">
        <v>26</v>
      </c>
      <c r="F28" s="2" t="s">
        <v>34</v>
      </c>
      <c r="G28" s="2">
        <v>610</v>
      </c>
      <c r="H28" s="1">
        <v>56596</v>
      </c>
      <c r="I28" s="11">
        <v>54197</v>
      </c>
      <c r="J28" s="1">
        <v>50853</v>
      </c>
      <c r="K28" s="1">
        <v>50853</v>
      </c>
      <c r="L28" s="1">
        <v>50853</v>
      </c>
      <c r="M28" s="1">
        <v>50853</v>
      </c>
      <c r="N28" s="1">
        <v>50853</v>
      </c>
    </row>
    <row r="29" spans="1:14" ht="213" customHeight="1" thickBot="1" x14ac:dyDescent="0.25">
      <c r="A29" s="25" t="s">
        <v>111</v>
      </c>
      <c r="B29" s="26" t="s">
        <v>87</v>
      </c>
      <c r="C29" s="24" t="s">
        <v>14</v>
      </c>
      <c r="D29" s="13">
        <v>801</v>
      </c>
      <c r="E29" s="13" t="s">
        <v>13</v>
      </c>
      <c r="F29" s="13" t="s">
        <v>13</v>
      </c>
      <c r="G29" s="13" t="s">
        <v>13</v>
      </c>
      <c r="H29" s="12">
        <v>0</v>
      </c>
      <c r="I29" s="13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279.75" customHeight="1" x14ac:dyDescent="0.2">
      <c r="A30" s="25" t="s">
        <v>112</v>
      </c>
      <c r="B30" s="27" t="s">
        <v>88</v>
      </c>
      <c r="C30" s="19" t="s">
        <v>14</v>
      </c>
      <c r="D30" s="2">
        <v>801</v>
      </c>
      <c r="E30" s="2" t="s">
        <v>13</v>
      </c>
      <c r="F30" s="2" t="s">
        <v>13</v>
      </c>
      <c r="G30" s="2" t="s">
        <v>13</v>
      </c>
      <c r="H30" s="1">
        <v>0</v>
      </c>
      <c r="I30" s="2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7.25" customHeight="1" x14ac:dyDescent="0.2">
      <c r="A31" s="38" t="s">
        <v>121</v>
      </c>
      <c r="B31" s="191" t="s">
        <v>89</v>
      </c>
      <c r="C31" s="19" t="s">
        <v>14</v>
      </c>
      <c r="D31" s="2">
        <v>801</v>
      </c>
      <c r="E31" s="2" t="s">
        <v>13</v>
      </c>
      <c r="F31" s="2" t="s">
        <v>13</v>
      </c>
      <c r="G31" s="2" t="s">
        <v>13</v>
      </c>
      <c r="H31" s="1">
        <v>0</v>
      </c>
      <c r="I31" s="2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66.75" customHeight="1" thickBot="1" x14ac:dyDescent="0.25">
      <c r="A32" s="28"/>
      <c r="B32" s="192"/>
      <c r="C32" s="29" t="s">
        <v>21</v>
      </c>
      <c r="D32" s="13">
        <v>811</v>
      </c>
      <c r="E32" s="2" t="s">
        <v>26</v>
      </c>
      <c r="F32" s="2" t="s">
        <v>35</v>
      </c>
      <c r="G32" s="2">
        <v>414</v>
      </c>
      <c r="H32" s="1">
        <v>0</v>
      </c>
      <c r="I32" s="15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6" x14ac:dyDescent="0.2">
      <c r="A33" s="187" t="s">
        <v>36</v>
      </c>
      <c r="B33" s="189" t="s">
        <v>37</v>
      </c>
      <c r="C33" s="19" t="s">
        <v>12</v>
      </c>
      <c r="D33" s="2" t="s">
        <v>13</v>
      </c>
      <c r="E33" s="2" t="s">
        <v>13</v>
      </c>
      <c r="F33" s="2" t="s">
        <v>13</v>
      </c>
      <c r="G33" s="2" t="s">
        <v>13</v>
      </c>
      <c r="H33" s="14">
        <f t="shared" ref="H33:N33" si="9">H34+H35+H36+H37</f>
        <v>6602537.9197900007</v>
      </c>
      <c r="I33" s="14">
        <f t="shared" si="9"/>
        <v>6034899.7632200001</v>
      </c>
      <c r="J33" s="14">
        <f t="shared" si="9"/>
        <v>5686822.2000000011</v>
      </c>
      <c r="K33" s="14">
        <f t="shared" si="9"/>
        <v>4975365.8</v>
      </c>
      <c r="L33" s="14">
        <f t="shared" si="9"/>
        <v>4975365.8</v>
      </c>
      <c r="M33" s="14">
        <f t="shared" si="9"/>
        <v>4975365.8</v>
      </c>
      <c r="N33" s="14">
        <f t="shared" si="9"/>
        <v>4975365.8</v>
      </c>
    </row>
    <row r="34" spans="1:16" ht="45" customHeight="1" x14ac:dyDescent="0.2">
      <c r="A34" s="201"/>
      <c r="B34" s="202"/>
      <c r="C34" s="19" t="s">
        <v>14</v>
      </c>
      <c r="D34" s="2">
        <v>801</v>
      </c>
      <c r="E34" s="2" t="s">
        <v>13</v>
      </c>
      <c r="F34" s="2" t="s">
        <v>13</v>
      </c>
      <c r="G34" s="2" t="s">
        <v>13</v>
      </c>
      <c r="H34" s="14">
        <f>H38+H39+H40+H41+H42+H43+H44+H45+H46+H47+H48+H49+H50+H51+H52+H53+H54+H55+H57+H58+H56+H59+H60+H62+H63+H64+H65+H66+H67+H68+H69+H73+H74+H75+H76+H77+H78+H79+H80+H81+H82</f>
        <v>6602487.9197900007</v>
      </c>
      <c r="I34" s="14">
        <f t="shared" ref="I34:N34" si="10">I38+I39+I40+I41+I42+I43+I44+I45+I46+I47+I48+I49+I50+I51+I52+I53+I54+I55+I57+I58+I59+I56+I60+I62+I63+I64+I65+I66+I67+I68+I69+I73+I74+I75+I76+I77+I78+I79+I80+I81+I82</f>
        <v>6004157.2632200001</v>
      </c>
      <c r="J34" s="14">
        <f t="shared" si="10"/>
        <v>5636514.7000000011</v>
      </c>
      <c r="K34" s="14">
        <f t="shared" si="10"/>
        <v>4975365.8</v>
      </c>
      <c r="L34" s="14">
        <f t="shared" si="10"/>
        <v>4975365.8</v>
      </c>
      <c r="M34" s="14">
        <f t="shared" si="10"/>
        <v>4975365.8</v>
      </c>
      <c r="N34" s="14">
        <f t="shared" si="10"/>
        <v>4975365.8</v>
      </c>
      <c r="P34" s="7"/>
    </row>
    <row r="35" spans="1:16" ht="25.5" x14ac:dyDescent="0.2">
      <c r="A35" s="201"/>
      <c r="B35" s="202"/>
      <c r="C35" s="19" t="s">
        <v>19</v>
      </c>
      <c r="D35" s="2">
        <v>802</v>
      </c>
      <c r="E35" s="2" t="s">
        <v>13</v>
      </c>
      <c r="F35" s="2" t="s">
        <v>13</v>
      </c>
      <c r="G35" s="2" t="s">
        <v>13</v>
      </c>
      <c r="H35" s="1">
        <v>0</v>
      </c>
      <c r="I35" s="2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6" ht="51" x14ac:dyDescent="0.2">
      <c r="A36" s="201"/>
      <c r="B36" s="202"/>
      <c r="C36" s="19" t="s">
        <v>20</v>
      </c>
      <c r="D36" s="2">
        <v>814</v>
      </c>
      <c r="E36" s="2" t="s">
        <v>13</v>
      </c>
      <c r="F36" s="2" t="s">
        <v>13</v>
      </c>
      <c r="G36" s="2" t="s">
        <v>13</v>
      </c>
      <c r="H36" s="1">
        <v>50</v>
      </c>
      <c r="I36" s="2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6" ht="63.75" x14ac:dyDescent="0.2">
      <c r="A37" s="201"/>
      <c r="B37" s="202"/>
      <c r="C37" s="19" t="s">
        <v>21</v>
      </c>
      <c r="D37" s="2">
        <v>811</v>
      </c>
      <c r="E37" s="2" t="s">
        <v>13</v>
      </c>
      <c r="F37" s="2" t="s">
        <v>13</v>
      </c>
      <c r="G37" s="2" t="s">
        <v>13</v>
      </c>
      <c r="H37" s="1">
        <f t="shared" ref="H37:N37" si="11">H70+H71+H72</f>
        <v>0</v>
      </c>
      <c r="I37" s="2">
        <f t="shared" si="11"/>
        <v>30742.5</v>
      </c>
      <c r="J37" s="1">
        <f t="shared" si="11"/>
        <v>50307.5</v>
      </c>
      <c r="K37" s="1">
        <f t="shared" si="11"/>
        <v>0</v>
      </c>
      <c r="L37" s="1">
        <f t="shared" si="11"/>
        <v>0</v>
      </c>
      <c r="M37" s="1">
        <f t="shared" si="11"/>
        <v>0</v>
      </c>
      <c r="N37" s="1">
        <f t="shared" si="11"/>
        <v>0</v>
      </c>
    </row>
    <row r="38" spans="1:16" ht="113.25" customHeight="1" x14ac:dyDescent="0.2">
      <c r="A38" s="164" t="s">
        <v>113</v>
      </c>
      <c r="B38" s="184" t="s">
        <v>90</v>
      </c>
      <c r="C38" s="181" t="s">
        <v>14</v>
      </c>
      <c r="D38" s="164">
        <v>801</v>
      </c>
      <c r="E38" s="2" t="s">
        <v>38</v>
      </c>
      <c r="F38" s="2" t="s">
        <v>39</v>
      </c>
      <c r="G38" s="2">
        <v>630</v>
      </c>
      <c r="H38" s="1">
        <v>34710</v>
      </c>
      <c r="I38" s="1">
        <v>32983.5</v>
      </c>
      <c r="J38" s="1">
        <v>32983.5</v>
      </c>
      <c r="K38" s="1">
        <v>32983.5</v>
      </c>
      <c r="L38" s="1">
        <v>32983.5</v>
      </c>
      <c r="M38" s="1">
        <v>32983.5</v>
      </c>
      <c r="N38" s="1">
        <v>32983.5</v>
      </c>
    </row>
    <row r="39" spans="1:16" ht="96.75" customHeight="1" x14ac:dyDescent="0.2">
      <c r="A39" s="165"/>
      <c r="B39" s="185"/>
      <c r="C39" s="182"/>
      <c r="D39" s="165"/>
      <c r="E39" s="2" t="s">
        <v>38</v>
      </c>
      <c r="F39" s="2" t="s">
        <v>40</v>
      </c>
      <c r="G39" s="2">
        <v>530</v>
      </c>
      <c r="H39" s="1">
        <v>1222524</v>
      </c>
      <c r="I39" s="1">
        <v>1347826</v>
      </c>
      <c r="J39" s="1">
        <v>1286506.3999999999</v>
      </c>
      <c r="K39" s="1">
        <v>1140055</v>
      </c>
      <c r="L39" s="1">
        <v>1140055</v>
      </c>
      <c r="M39" s="1">
        <v>1140055</v>
      </c>
      <c r="N39" s="1">
        <v>1140055</v>
      </c>
    </row>
    <row r="40" spans="1:16" ht="83.25" customHeight="1" x14ac:dyDescent="0.2">
      <c r="A40" s="165"/>
      <c r="B40" s="185"/>
      <c r="C40" s="182"/>
      <c r="D40" s="165"/>
      <c r="E40" s="2" t="s">
        <v>38</v>
      </c>
      <c r="F40" s="2" t="s">
        <v>41</v>
      </c>
      <c r="G40" s="2">
        <v>520</v>
      </c>
      <c r="H40" s="1">
        <v>15377</v>
      </c>
      <c r="I40" s="1">
        <v>15821</v>
      </c>
      <c r="J40" s="1">
        <v>15025.7</v>
      </c>
      <c r="K40" s="1">
        <v>13315.2</v>
      </c>
      <c r="L40" s="1">
        <v>13315.2</v>
      </c>
      <c r="M40" s="1">
        <v>13315.2</v>
      </c>
      <c r="N40" s="1">
        <v>13315.2</v>
      </c>
    </row>
    <row r="41" spans="1:16" ht="48" customHeight="1" x14ac:dyDescent="0.2">
      <c r="A41" s="165"/>
      <c r="B41" s="185"/>
      <c r="C41" s="182"/>
      <c r="D41" s="165"/>
      <c r="E41" s="2" t="s">
        <v>42</v>
      </c>
      <c r="F41" s="2" t="s">
        <v>43</v>
      </c>
      <c r="G41" s="2">
        <v>530</v>
      </c>
      <c r="H41" s="1">
        <v>183821</v>
      </c>
      <c r="I41" s="1">
        <v>196000</v>
      </c>
      <c r="J41" s="1">
        <v>186147.5</v>
      </c>
      <c r="K41" s="1">
        <v>164957.1</v>
      </c>
      <c r="L41" s="1">
        <v>164957.1</v>
      </c>
      <c r="M41" s="1">
        <v>164957.1</v>
      </c>
      <c r="N41" s="1">
        <v>164957.1</v>
      </c>
    </row>
    <row r="42" spans="1:16" ht="30.75" customHeight="1" x14ac:dyDescent="0.2">
      <c r="A42" s="166"/>
      <c r="B42" s="186"/>
      <c r="C42" s="183"/>
      <c r="D42" s="166"/>
      <c r="E42" s="2" t="s">
        <v>44</v>
      </c>
      <c r="F42" s="2" t="s">
        <v>45</v>
      </c>
      <c r="G42" s="2">
        <v>242</v>
      </c>
      <c r="H42" s="1">
        <v>3045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6" ht="45" customHeight="1" x14ac:dyDescent="0.2">
      <c r="A43" s="181" t="s">
        <v>114</v>
      </c>
      <c r="B43" s="191" t="s">
        <v>106</v>
      </c>
      <c r="C43" s="181" t="s">
        <v>14</v>
      </c>
      <c r="D43" s="164">
        <v>801</v>
      </c>
      <c r="E43" s="2" t="s">
        <v>46</v>
      </c>
      <c r="F43" s="2" t="s">
        <v>47</v>
      </c>
      <c r="G43" s="2">
        <v>520</v>
      </c>
      <c r="H43" s="1">
        <v>33.331859999999999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6" ht="39" customHeight="1" x14ac:dyDescent="0.2">
      <c r="A44" s="182"/>
      <c r="B44" s="192"/>
      <c r="C44" s="182"/>
      <c r="D44" s="165"/>
      <c r="E44" s="2" t="s">
        <v>46</v>
      </c>
      <c r="F44" s="2" t="s">
        <v>48</v>
      </c>
      <c r="G44" s="2" t="s">
        <v>49</v>
      </c>
      <c r="H44" s="1">
        <v>79728.7</v>
      </c>
      <c r="I44" s="1">
        <f>11598.7+45.7+45193.2+13403+1.4</f>
        <v>70242</v>
      </c>
      <c r="J44" s="1">
        <f>12916.3+45.7+52832.3+13403+0.4</f>
        <v>79197.7</v>
      </c>
      <c r="K44" s="1">
        <f>11599.7+45.7+44782.9+13403+0.4</f>
        <v>69831.7</v>
      </c>
      <c r="L44" s="1">
        <f>11599.7+45.7+44782.9+13403+0.4</f>
        <v>69831.7</v>
      </c>
      <c r="M44" s="1">
        <f>11599.7+45.7+44782.9+13403+0.4</f>
        <v>69831.7</v>
      </c>
      <c r="N44" s="1">
        <f>11599.7+45.7+44782.9+13403+0.4</f>
        <v>69831.7</v>
      </c>
    </row>
    <row r="45" spans="1:16" ht="28.5" customHeight="1" x14ac:dyDescent="0.2">
      <c r="A45" s="182"/>
      <c r="B45" s="192"/>
      <c r="C45" s="182"/>
      <c r="D45" s="165"/>
      <c r="E45" s="2" t="s">
        <v>46</v>
      </c>
      <c r="F45" s="2" t="s">
        <v>50</v>
      </c>
      <c r="G45" s="2">
        <v>610</v>
      </c>
      <c r="H45" s="1">
        <v>302491.2</v>
      </c>
      <c r="I45" s="1">
        <f>255302+2713.7</f>
        <v>258015.7</v>
      </c>
      <c r="J45" s="1">
        <v>280411.40000000002</v>
      </c>
      <c r="K45" s="1">
        <v>243916.7</v>
      </c>
      <c r="L45" s="1">
        <v>243916.7</v>
      </c>
      <c r="M45" s="1">
        <v>243916.7</v>
      </c>
      <c r="N45" s="1">
        <v>243916.7</v>
      </c>
    </row>
    <row r="46" spans="1:16" ht="29.25" customHeight="1" x14ac:dyDescent="0.2">
      <c r="A46" s="182"/>
      <c r="B46" s="192"/>
      <c r="C46" s="182"/>
      <c r="D46" s="165"/>
      <c r="E46" s="2" t="s">
        <v>46</v>
      </c>
      <c r="F46" s="2" t="s">
        <v>51</v>
      </c>
      <c r="G46" s="2">
        <v>530</v>
      </c>
      <c r="H46" s="1">
        <v>3977825</v>
      </c>
      <c r="I46" s="1">
        <v>3566656</v>
      </c>
      <c r="J46" s="1">
        <v>3525984.7</v>
      </c>
      <c r="K46" s="1">
        <v>3124598.9</v>
      </c>
      <c r="L46" s="1">
        <v>3124598.9</v>
      </c>
      <c r="M46" s="1">
        <v>3124598.9</v>
      </c>
      <c r="N46" s="1">
        <v>3124598.9</v>
      </c>
    </row>
    <row r="47" spans="1:16" ht="30" customHeight="1" x14ac:dyDescent="0.2">
      <c r="A47" s="182"/>
      <c r="B47" s="192"/>
      <c r="C47" s="182"/>
      <c r="D47" s="165"/>
      <c r="E47" s="2" t="s">
        <v>52</v>
      </c>
      <c r="F47" s="2" t="s">
        <v>53</v>
      </c>
      <c r="G47" s="2">
        <v>530</v>
      </c>
      <c r="H47" s="1">
        <v>9709</v>
      </c>
      <c r="I47" s="1">
        <v>9347</v>
      </c>
      <c r="J47" s="1">
        <v>8804</v>
      </c>
      <c r="K47" s="1">
        <v>7801.8</v>
      </c>
      <c r="L47" s="1">
        <v>7801.8</v>
      </c>
      <c r="M47" s="1">
        <v>7801.8</v>
      </c>
      <c r="N47" s="1">
        <v>7801.8</v>
      </c>
    </row>
    <row r="48" spans="1:16" ht="21" customHeight="1" x14ac:dyDescent="0.2">
      <c r="A48" s="182"/>
      <c r="B48" s="192"/>
      <c r="C48" s="182"/>
      <c r="D48" s="165"/>
      <c r="E48" s="2" t="s">
        <v>46</v>
      </c>
      <c r="F48" s="2" t="s">
        <v>54</v>
      </c>
      <c r="G48" s="2">
        <v>530</v>
      </c>
      <c r="H48" s="1">
        <v>0</v>
      </c>
      <c r="I48" s="1">
        <v>27076</v>
      </c>
      <c r="J48" s="1">
        <v>25715</v>
      </c>
      <c r="K48" s="1">
        <v>22787.7</v>
      </c>
      <c r="L48" s="1">
        <v>22787.7</v>
      </c>
      <c r="M48" s="1">
        <v>22787.7</v>
      </c>
      <c r="N48" s="1">
        <v>22787.7</v>
      </c>
    </row>
    <row r="49" spans="1:15" ht="20.25" customHeight="1" x14ac:dyDescent="0.2">
      <c r="A49" s="182"/>
      <c r="B49" s="192"/>
      <c r="C49" s="182"/>
      <c r="D49" s="165"/>
      <c r="E49" s="2" t="s">
        <v>46</v>
      </c>
      <c r="F49" s="2" t="s">
        <v>55</v>
      </c>
      <c r="G49" s="2" t="s">
        <v>56</v>
      </c>
      <c r="H49" s="1">
        <f>5988+660</f>
        <v>6648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5" ht="31.5" customHeight="1" x14ac:dyDescent="0.2">
      <c r="A50" s="182"/>
      <c r="B50" s="192"/>
      <c r="C50" s="182"/>
      <c r="D50" s="165"/>
      <c r="E50" s="2" t="s">
        <v>46</v>
      </c>
      <c r="F50" s="2" t="s">
        <v>57</v>
      </c>
      <c r="G50" s="2" t="s">
        <v>58</v>
      </c>
      <c r="H50" s="1">
        <f>12605.3+3677.5</f>
        <v>16282.8</v>
      </c>
      <c r="I50" s="2">
        <v>2695.8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5" ht="27" customHeight="1" x14ac:dyDescent="0.2">
      <c r="A51" s="182"/>
      <c r="B51" s="192"/>
      <c r="C51" s="182"/>
      <c r="D51" s="165"/>
      <c r="E51" s="2" t="s">
        <v>26</v>
      </c>
      <c r="F51" s="2" t="s">
        <v>59</v>
      </c>
      <c r="G51" s="2">
        <v>620</v>
      </c>
      <c r="H51" s="1">
        <v>1200</v>
      </c>
      <c r="I51" s="2">
        <v>629.79999999999995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5" ht="25.5" x14ac:dyDescent="0.2">
      <c r="A52" s="182"/>
      <c r="B52" s="192"/>
      <c r="C52" s="182"/>
      <c r="D52" s="165"/>
      <c r="E52" s="2" t="s">
        <v>31</v>
      </c>
      <c r="F52" s="2" t="s">
        <v>60</v>
      </c>
      <c r="G52" s="2" t="s">
        <v>61</v>
      </c>
      <c r="H52" s="1">
        <f>64319.6-H85-H42-H60-H80-H81-H79</f>
        <v>51051.199999999997</v>
      </c>
      <c r="I52" s="1">
        <f>30434.2+11561+9667.3+324.6-164.3</f>
        <v>51822.799999999996</v>
      </c>
      <c r="J52" s="1">
        <f>40200.3+10230.6+31280.4+324.6</f>
        <v>82035.900000000009</v>
      </c>
      <c r="K52" s="1">
        <f>27615.3+6205.1+18571.6+324.6</f>
        <v>52716.6</v>
      </c>
      <c r="L52" s="1">
        <f>27615.3+6205.1+18571.6+324.6</f>
        <v>52716.6</v>
      </c>
      <c r="M52" s="1">
        <f>27615.3+6205.1+18571.6+324.6</f>
        <v>52716.6</v>
      </c>
      <c r="N52" s="1">
        <f>27615.3+6205.1+18571.6+324.6</f>
        <v>52716.6</v>
      </c>
    </row>
    <row r="53" spans="1:15" ht="108" customHeight="1" x14ac:dyDescent="0.2">
      <c r="A53" s="182"/>
      <c r="B53" s="192"/>
      <c r="C53" s="182"/>
      <c r="D53" s="165"/>
      <c r="E53" s="2" t="s">
        <v>46</v>
      </c>
      <c r="F53" s="2" t="s">
        <v>62</v>
      </c>
      <c r="G53" s="2">
        <v>240</v>
      </c>
      <c r="H53" s="3">
        <v>0</v>
      </c>
      <c r="I53" s="4">
        <v>4218.8999999999996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5" ht="86.25" customHeight="1" x14ac:dyDescent="0.2">
      <c r="A54" s="182"/>
      <c r="B54" s="192"/>
      <c r="C54" s="182"/>
      <c r="D54" s="165"/>
      <c r="E54" s="4" t="s">
        <v>46</v>
      </c>
      <c r="F54" s="4" t="s">
        <v>63</v>
      </c>
      <c r="G54" s="4">
        <v>610</v>
      </c>
      <c r="H54" s="3">
        <v>0</v>
      </c>
      <c r="I54" s="4">
        <v>298.10000000000002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5" ht="49.5" customHeight="1" x14ac:dyDescent="0.2">
      <c r="A55" s="182"/>
      <c r="B55" s="192"/>
      <c r="C55" s="182"/>
      <c r="D55" s="165"/>
      <c r="E55" s="4" t="s">
        <v>31</v>
      </c>
      <c r="F55" s="4" t="s">
        <v>63</v>
      </c>
      <c r="G55" s="4">
        <v>610</v>
      </c>
      <c r="H55" s="3">
        <v>0</v>
      </c>
      <c r="I55" s="4">
        <f>280+140</f>
        <v>420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5" ht="52.5" customHeight="1" x14ac:dyDescent="0.2">
      <c r="A56" s="183"/>
      <c r="B56" s="193"/>
      <c r="C56" s="183"/>
      <c r="D56" s="166"/>
      <c r="E56" s="2" t="s">
        <v>65</v>
      </c>
      <c r="F56" s="2" t="s">
        <v>66</v>
      </c>
      <c r="G56" s="2">
        <v>620</v>
      </c>
      <c r="H56" s="1">
        <v>0</v>
      </c>
      <c r="I56" s="2">
        <v>600</v>
      </c>
      <c r="J56" s="1">
        <v>600</v>
      </c>
      <c r="K56" s="1">
        <v>600</v>
      </c>
      <c r="L56" s="1">
        <v>600</v>
      </c>
      <c r="M56" s="1">
        <v>600</v>
      </c>
      <c r="N56" s="1">
        <v>600</v>
      </c>
    </row>
    <row r="57" spans="1:15" ht="279.75" hidden="1" customHeight="1" x14ac:dyDescent="0.2">
      <c r="A57" s="37" t="s">
        <v>115</v>
      </c>
      <c r="B57" s="31" t="s">
        <v>91</v>
      </c>
      <c r="C57" s="30" t="s">
        <v>14</v>
      </c>
      <c r="D57" s="32">
        <v>801</v>
      </c>
      <c r="E57" s="4"/>
      <c r="F57" s="4"/>
      <c r="G57" s="4"/>
      <c r="H57" s="3">
        <v>0</v>
      </c>
      <c r="I57" s="4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5" ht="45" customHeight="1" x14ac:dyDescent="0.2">
      <c r="A58" s="194" t="s">
        <v>118</v>
      </c>
      <c r="B58" s="196" t="s">
        <v>92</v>
      </c>
      <c r="C58" s="194" t="s">
        <v>14</v>
      </c>
      <c r="D58" s="199">
        <v>801</v>
      </c>
      <c r="E58" s="39" t="s">
        <v>46</v>
      </c>
      <c r="F58" s="39" t="s">
        <v>64</v>
      </c>
      <c r="G58" s="39">
        <v>610</v>
      </c>
      <c r="H58" s="40">
        <f>1200+1860</f>
        <v>3060</v>
      </c>
      <c r="I58" s="39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5" ht="48.75" customHeight="1" x14ac:dyDescent="0.2">
      <c r="A59" s="195"/>
      <c r="B59" s="197"/>
      <c r="C59" s="195"/>
      <c r="D59" s="200"/>
      <c r="E59" s="39" t="s">
        <v>65</v>
      </c>
      <c r="F59" s="39" t="s">
        <v>66</v>
      </c>
      <c r="G59" s="39">
        <v>620</v>
      </c>
      <c r="H59" s="40">
        <v>600</v>
      </c>
      <c r="I59" s="39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</row>
    <row r="60" spans="1:15" ht="48.75" customHeight="1" x14ac:dyDescent="0.2">
      <c r="A60" s="195"/>
      <c r="B60" s="197"/>
      <c r="C60" s="195"/>
      <c r="D60" s="200"/>
      <c r="E60" s="39" t="s">
        <v>31</v>
      </c>
      <c r="F60" s="39" t="s">
        <v>45</v>
      </c>
      <c r="G60" s="39">
        <v>240</v>
      </c>
      <c r="H60" s="40">
        <f>50+25</f>
        <v>75</v>
      </c>
      <c r="I60" s="39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5" ht="52.5" customHeight="1" x14ac:dyDescent="0.2">
      <c r="A61" s="195"/>
      <c r="B61" s="198"/>
      <c r="C61" s="41" t="s">
        <v>20</v>
      </c>
      <c r="D61" s="39">
        <v>814</v>
      </c>
      <c r="E61" s="39" t="s">
        <v>13</v>
      </c>
      <c r="F61" s="39" t="s">
        <v>13</v>
      </c>
      <c r="G61" s="39" t="s">
        <v>13</v>
      </c>
      <c r="H61" s="40">
        <v>50</v>
      </c>
      <c r="I61" s="39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6"/>
    </row>
    <row r="62" spans="1:15" ht="391.5" customHeight="1" x14ac:dyDescent="0.2">
      <c r="A62" s="38" t="s">
        <v>116</v>
      </c>
      <c r="B62" s="31" t="s">
        <v>107</v>
      </c>
      <c r="C62" s="30" t="s">
        <v>14</v>
      </c>
      <c r="D62" s="32">
        <v>801</v>
      </c>
      <c r="E62" s="4" t="s">
        <v>46</v>
      </c>
      <c r="F62" s="4" t="s">
        <v>64</v>
      </c>
      <c r="G62" s="4">
        <v>610</v>
      </c>
      <c r="H62" s="1">
        <f>46380.5-1200-1860</f>
        <v>43320.5</v>
      </c>
      <c r="I62" s="1">
        <f>41888.75+361.25-J78</f>
        <v>41650</v>
      </c>
      <c r="J62" s="1">
        <f>44365.5-J78</f>
        <v>43765.5</v>
      </c>
      <c r="K62" s="1">
        <f>41411.7-K78</f>
        <v>40811.699999999997</v>
      </c>
      <c r="L62" s="1">
        <f>41411.7-L78</f>
        <v>40811.699999999997</v>
      </c>
      <c r="M62" s="1">
        <f>41411.7-M78</f>
        <v>40811.699999999997</v>
      </c>
      <c r="N62" s="1">
        <f>41411.7-N78</f>
        <v>40811.699999999997</v>
      </c>
      <c r="O62" s="33"/>
    </row>
    <row r="63" spans="1:15" ht="23.25" customHeight="1" x14ac:dyDescent="0.2">
      <c r="A63" s="181" t="s">
        <v>117</v>
      </c>
      <c r="B63" s="184" t="s">
        <v>93</v>
      </c>
      <c r="C63" s="181" t="s">
        <v>14</v>
      </c>
      <c r="D63" s="164">
        <v>801</v>
      </c>
      <c r="E63" s="2" t="s">
        <v>38</v>
      </c>
      <c r="F63" s="2" t="s">
        <v>67</v>
      </c>
      <c r="G63" s="2" t="s">
        <v>68</v>
      </c>
      <c r="H63" s="1">
        <v>450493</v>
      </c>
      <c r="I63" s="1">
        <f>17222.96322+161699.36+26350.14</f>
        <v>205272.46321999998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5" ht="19.5" customHeight="1" x14ac:dyDescent="0.2">
      <c r="A64" s="182"/>
      <c r="B64" s="185"/>
      <c r="C64" s="182"/>
      <c r="D64" s="165"/>
      <c r="E64" s="2" t="s">
        <v>38</v>
      </c>
      <c r="F64" s="2" t="s">
        <v>57</v>
      </c>
      <c r="G64" s="2">
        <v>520</v>
      </c>
      <c r="H64" s="1">
        <v>1142.6850300000001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ht="18" customHeight="1" x14ac:dyDescent="0.2">
      <c r="A65" s="182"/>
      <c r="B65" s="185"/>
      <c r="C65" s="182"/>
      <c r="D65" s="165"/>
      <c r="E65" s="2" t="s">
        <v>38</v>
      </c>
      <c r="F65" s="2" t="s">
        <v>55</v>
      </c>
      <c r="G65" s="2">
        <v>520</v>
      </c>
      <c r="H65" s="1">
        <v>401.60289999999998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ht="15.75" customHeight="1" x14ac:dyDescent="0.2">
      <c r="A66" s="182"/>
      <c r="B66" s="185"/>
      <c r="C66" s="182"/>
      <c r="D66" s="165"/>
      <c r="E66" s="2" t="s">
        <v>38</v>
      </c>
      <c r="F66" s="2" t="s">
        <v>69</v>
      </c>
      <c r="G66" s="2">
        <v>520</v>
      </c>
      <c r="H66" s="1">
        <f>14107.5+13254</f>
        <v>27361.5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6.5" customHeight="1" x14ac:dyDescent="0.2">
      <c r="A67" s="182"/>
      <c r="B67" s="185"/>
      <c r="C67" s="182"/>
      <c r="D67" s="165"/>
      <c r="E67" s="2" t="s">
        <v>46</v>
      </c>
      <c r="F67" s="2" t="s">
        <v>70</v>
      </c>
      <c r="G67" s="2">
        <v>520</v>
      </c>
      <c r="H67" s="1">
        <v>0</v>
      </c>
      <c r="I67" s="1">
        <v>25413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ht="20.25" customHeight="1" x14ac:dyDescent="0.2">
      <c r="A68" s="182"/>
      <c r="B68" s="185"/>
      <c r="C68" s="182"/>
      <c r="D68" s="165"/>
      <c r="E68" s="2" t="s">
        <v>46</v>
      </c>
      <c r="F68" s="2" t="s">
        <v>71</v>
      </c>
      <c r="G68" s="2">
        <v>520</v>
      </c>
      <c r="H68" s="1">
        <v>22101.3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ht="15.75" customHeight="1" x14ac:dyDescent="0.2">
      <c r="A69" s="182"/>
      <c r="B69" s="185"/>
      <c r="C69" s="183"/>
      <c r="D69" s="166"/>
      <c r="E69" s="2" t="s">
        <v>46</v>
      </c>
      <c r="F69" s="2" t="s">
        <v>72</v>
      </c>
      <c r="G69" s="2">
        <v>520</v>
      </c>
      <c r="H69" s="1">
        <v>1428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ht="23.25" customHeight="1" x14ac:dyDescent="0.2">
      <c r="A70" s="182"/>
      <c r="B70" s="185"/>
      <c r="C70" s="181" t="s">
        <v>21</v>
      </c>
      <c r="D70" s="164">
        <v>811</v>
      </c>
      <c r="E70" s="2" t="s">
        <v>46</v>
      </c>
      <c r="F70" s="2" t="s">
        <v>73</v>
      </c>
      <c r="G70" s="2">
        <v>414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ht="20.25" customHeight="1" x14ac:dyDescent="0.2">
      <c r="A71" s="182"/>
      <c r="B71" s="185"/>
      <c r="C71" s="182"/>
      <c r="D71" s="165"/>
      <c r="E71" s="2" t="s">
        <v>38</v>
      </c>
      <c r="F71" s="2" t="s">
        <v>67</v>
      </c>
      <c r="G71" s="2">
        <v>410</v>
      </c>
      <c r="H71" s="1">
        <v>0</v>
      </c>
      <c r="I71" s="1">
        <v>30742.5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ht="24.75" customHeight="1" x14ac:dyDescent="0.2">
      <c r="A72" s="183"/>
      <c r="B72" s="186"/>
      <c r="C72" s="183"/>
      <c r="D72" s="166"/>
      <c r="E72" s="2" t="s">
        <v>38</v>
      </c>
      <c r="F72" s="2" t="s">
        <v>74</v>
      </c>
      <c r="G72" s="2">
        <v>410</v>
      </c>
      <c r="H72" s="1">
        <v>0</v>
      </c>
      <c r="I72" s="1">
        <v>0</v>
      </c>
      <c r="J72" s="1">
        <v>50307.5</v>
      </c>
      <c r="K72" s="1">
        <v>0</v>
      </c>
      <c r="L72" s="1">
        <v>0</v>
      </c>
      <c r="M72" s="1">
        <v>0</v>
      </c>
      <c r="N72" s="1">
        <v>0</v>
      </c>
    </row>
    <row r="73" spans="1:14" ht="85.5" customHeight="1" x14ac:dyDescent="0.2">
      <c r="A73" s="181" t="s">
        <v>119</v>
      </c>
      <c r="B73" s="184" t="s">
        <v>94</v>
      </c>
      <c r="C73" s="181" t="s">
        <v>14</v>
      </c>
      <c r="D73" s="164">
        <v>801</v>
      </c>
      <c r="E73" s="2" t="s">
        <v>46</v>
      </c>
      <c r="F73" s="2" t="s">
        <v>75</v>
      </c>
      <c r="G73" s="2">
        <v>530</v>
      </c>
      <c r="H73" s="1">
        <v>95624</v>
      </c>
      <c r="I73" s="1">
        <v>74553</v>
      </c>
      <c r="J73" s="1">
        <v>39536.400000000001</v>
      </c>
      <c r="K73" s="1">
        <v>35035.699999999997</v>
      </c>
      <c r="L73" s="1">
        <v>35035.699999999997</v>
      </c>
      <c r="M73" s="1">
        <v>35035.699999999997</v>
      </c>
      <c r="N73" s="1">
        <v>35035.699999999997</v>
      </c>
    </row>
    <row r="74" spans="1:14" ht="54" customHeight="1" x14ac:dyDescent="0.2">
      <c r="A74" s="182"/>
      <c r="B74" s="185"/>
      <c r="C74" s="182"/>
      <c r="D74" s="165"/>
      <c r="E74" s="2" t="s">
        <v>46</v>
      </c>
      <c r="F74" s="2" t="s">
        <v>76</v>
      </c>
      <c r="G74" s="2">
        <v>520</v>
      </c>
      <c r="H74" s="1">
        <v>18523</v>
      </c>
      <c r="I74" s="1">
        <v>43253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ht="61.5" customHeight="1" x14ac:dyDescent="0.2">
      <c r="A75" s="182"/>
      <c r="B75" s="185"/>
      <c r="C75" s="182"/>
      <c r="D75" s="165"/>
      <c r="E75" s="2" t="s">
        <v>46</v>
      </c>
      <c r="F75" s="2" t="s">
        <v>77</v>
      </c>
      <c r="G75" s="2">
        <v>540</v>
      </c>
      <c r="H75" s="1">
        <v>4137</v>
      </c>
      <c r="I75" s="1">
        <v>3696</v>
      </c>
      <c r="J75" s="1">
        <v>3510.2</v>
      </c>
      <c r="K75" s="1">
        <v>3110.7</v>
      </c>
      <c r="L75" s="1">
        <v>3110.7</v>
      </c>
      <c r="M75" s="1">
        <v>3110.7</v>
      </c>
      <c r="N75" s="1">
        <v>3110.7</v>
      </c>
    </row>
    <row r="76" spans="1:14" ht="54" customHeight="1" x14ac:dyDescent="0.2">
      <c r="A76" s="182"/>
      <c r="B76" s="185"/>
      <c r="C76" s="182"/>
      <c r="D76" s="165"/>
      <c r="E76" s="2" t="s">
        <v>46</v>
      </c>
      <c r="F76" s="2" t="s">
        <v>78</v>
      </c>
      <c r="G76" s="2">
        <v>350</v>
      </c>
      <c r="H76" s="1">
        <v>500</v>
      </c>
      <c r="I76" s="1">
        <v>500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ht="60.75" customHeight="1" x14ac:dyDescent="0.2">
      <c r="A77" s="182"/>
      <c r="B77" s="185"/>
      <c r="C77" s="182"/>
      <c r="D77" s="165"/>
      <c r="E77" s="2" t="s">
        <v>46</v>
      </c>
      <c r="F77" s="2" t="s">
        <v>79</v>
      </c>
      <c r="G77" s="2">
        <v>350</v>
      </c>
      <c r="H77" s="1">
        <v>800</v>
      </c>
      <c r="I77" s="1">
        <v>800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ht="36.75" customHeight="1" x14ac:dyDescent="0.2">
      <c r="A78" s="182"/>
      <c r="B78" s="185"/>
      <c r="C78" s="182"/>
      <c r="D78" s="165"/>
      <c r="E78" s="2" t="s">
        <v>46</v>
      </c>
      <c r="F78" s="2" t="s">
        <v>80</v>
      </c>
      <c r="G78" s="2">
        <v>350</v>
      </c>
      <c r="H78" s="1">
        <v>0</v>
      </c>
      <c r="I78" s="1">
        <f>300+300</f>
        <v>600</v>
      </c>
      <c r="J78" s="1">
        <v>600</v>
      </c>
      <c r="K78" s="1">
        <v>600</v>
      </c>
      <c r="L78" s="1">
        <v>600</v>
      </c>
      <c r="M78" s="1">
        <v>600</v>
      </c>
      <c r="N78" s="1">
        <v>600</v>
      </c>
    </row>
    <row r="79" spans="1:14" ht="50.25" customHeight="1" x14ac:dyDescent="0.2">
      <c r="A79" s="182"/>
      <c r="B79" s="185"/>
      <c r="C79" s="182"/>
      <c r="D79" s="165"/>
      <c r="E79" s="2" t="s">
        <v>31</v>
      </c>
      <c r="F79" s="2" t="s">
        <v>60</v>
      </c>
      <c r="G79" s="2" t="s">
        <v>58</v>
      </c>
      <c r="H79" s="1">
        <f>122.2+75</f>
        <v>197.2</v>
      </c>
      <c r="I79" s="1">
        <v>164.3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ht="42.75" customHeight="1" x14ac:dyDescent="0.2">
      <c r="A80" s="182"/>
      <c r="B80" s="185"/>
      <c r="C80" s="182"/>
      <c r="D80" s="165"/>
      <c r="E80" s="2" t="s">
        <v>31</v>
      </c>
      <c r="F80" s="2" t="s">
        <v>45</v>
      </c>
      <c r="G80" s="2">
        <v>240</v>
      </c>
      <c r="H80" s="1">
        <v>880</v>
      </c>
      <c r="I80" s="1">
        <v>800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5" ht="57" customHeight="1" x14ac:dyDescent="0.2">
      <c r="A81" s="182"/>
      <c r="B81" s="185"/>
      <c r="C81" s="182"/>
      <c r="D81" s="165"/>
      <c r="E81" s="2" t="s">
        <v>31</v>
      </c>
      <c r="F81" s="2" t="s">
        <v>45</v>
      </c>
      <c r="G81" s="2">
        <v>320</v>
      </c>
      <c r="H81" s="1">
        <v>90</v>
      </c>
      <c r="I81" s="1">
        <v>90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5" ht="66" customHeight="1" thickBot="1" x14ac:dyDescent="0.25">
      <c r="A82" s="183"/>
      <c r="B82" s="186"/>
      <c r="C82" s="183"/>
      <c r="D82" s="166"/>
      <c r="E82" s="2" t="s">
        <v>65</v>
      </c>
      <c r="F82" s="2" t="s">
        <v>66</v>
      </c>
      <c r="G82" s="2">
        <v>620</v>
      </c>
      <c r="H82" s="1">
        <f>29106.9-1200-600</f>
        <v>27306.9</v>
      </c>
      <c r="I82" s="1">
        <f>23942.7-600-629.8</f>
        <v>22712.9</v>
      </c>
      <c r="J82" s="3">
        <f>26290.8-600</f>
        <v>25690.799999999999</v>
      </c>
      <c r="K82" s="3">
        <f>22843.5-600</f>
        <v>22243.5</v>
      </c>
      <c r="L82" s="3">
        <f>22843.5-600</f>
        <v>22243.5</v>
      </c>
      <c r="M82" s="3">
        <f>22843.5-600</f>
        <v>22243.5</v>
      </c>
      <c r="N82" s="3">
        <f>22843.5-600</f>
        <v>22243.5</v>
      </c>
    </row>
    <row r="83" spans="1:15" x14ac:dyDescent="0.2">
      <c r="A83" s="187" t="s">
        <v>81</v>
      </c>
      <c r="B83" s="189" t="s">
        <v>82</v>
      </c>
      <c r="C83" s="19" t="s">
        <v>83</v>
      </c>
      <c r="D83" s="34" t="s">
        <v>13</v>
      </c>
      <c r="E83" s="2" t="s">
        <v>13</v>
      </c>
      <c r="F83" s="2" t="s">
        <v>13</v>
      </c>
      <c r="G83" s="2" t="s">
        <v>13</v>
      </c>
      <c r="H83" s="14">
        <f t="shared" ref="H83:N83" si="12">H84</f>
        <v>31981.200000000001</v>
      </c>
      <c r="I83" s="14">
        <f t="shared" si="12"/>
        <v>39388.6</v>
      </c>
      <c r="J83" s="14">
        <f t="shared" si="12"/>
        <v>17000</v>
      </c>
      <c r="K83" s="14">
        <f t="shared" si="12"/>
        <v>17000</v>
      </c>
      <c r="L83" s="14">
        <f t="shared" si="12"/>
        <v>17000</v>
      </c>
      <c r="M83" s="14">
        <f t="shared" si="12"/>
        <v>17000</v>
      </c>
      <c r="N83" s="14">
        <f t="shared" si="12"/>
        <v>17000</v>
      </c>
    </row>
    <row r="84" spans="1:15" s="23" customFormat="1" ht="39" thickBot="1" x14ac:dyDescent="0.25">
      <c r="A84" s="188"/>
      <c r="B84" s="190"/>
      <c r="C84" s="19" t="s">
        <v>14</v>
      </c>
      <c r="D84" s="35">
        <v>801</v>
      </c>
      <c r="E84" s="35" t="s">
        <v>13</v>
      </c>
      <c r="F84" s="35" t="s">
        <v>13</v>
      </c>
      <c r="G84" s="35" t="s">
        <v>13</v>
      </c>
      <c r="H84" s="1">
        <f t="shared" ref="H84:N84" si="13">H85+H86</f>
        <v>31981.200000000001</v>
      </c>
      <c r="I84" s="1">
        <f t="shared" si="13"/>
        <v>39388.6</v>
      </c>
      <c r="J84" s="1">
        <f t="shared" si="13"/>
        <v>17000</v>
      </c>
      <c r="K84" s="1">
        <f t="shared" si="13"/>
        <v>17000</v>
      </c>
      <c r="L84" s="1">
        <f t="shared" si="13"/>
        <v>17000</v>
      </c>
      <c r="M84" s="1">
        <f t="shared" si="13"/>
        <v>17000</v>
      </c>
      <c r="N84" s="1">
        <f t="shared" si="13"/>
        <v>17000</v>
      </c>
      <c r="O84" s="22"/>
    </row>
    <row r="85" spans="1:15" ht="135.75" customHeight="1" x14ac:dyDescent="0.2">
      <c r="A85" s="209" t="s">
        <v>120</v>
      </c>
      <c r="B85" s="207" t="s">
        <v>108</v>
      </c>
      <c r="C85" s="19" t="s">
        <v>14</v>
      </c>
      <c r="D85" s="2">
        <v>801</v>
      </c>
      <c r="E85" s="2" t="s">
        <v>31</v>
      </c>
      <c r="F85" s="2" t="s">
        <v>84</v>
      </c>
      <c r="G85" s="2">
        <v>620</v>
      </c>
      <c r="H85" s="1">
        <v>8981.2000000000007</v>
      </c>
      <c r="I85" s="1">
        <v>8652.4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5" ht="392.25" customHeight="1" thickBot="1" x14ac:dyDescent="0.25">
      <c r="A86" s="210"/>
      <c r="B86" s="208"/>
      <c r="C86" s="19" t="s">
        <v>14</v>
      </c>
      <c r="D86" s="2">
        <v>801</v>
      </c>
      <c r="E86" s="2" t="s">
        <v>31</v>
      </c>
      <c r="F86" s="2" t="s">
        <v>85</v>
      </c>
      <c r="G86" s="2">
        <v>620</v>
      </c>
      <c r="H86" s="1">
        <f>20700+2300</f>
        <v>23000</v>
      </c>
      <c r="I86" s="1">
        <f>27620.6+3115.6</f>
        <v>30736.199999999997</v>
      </c>
      <c r="J86" s="1">
        <v>17000</v>
      </c>
      <c r="K86" s="1">
        <v>17000</v>
      </c>
      <c r="L86" s="1">
        <v>17000</v>
      </c>
      <c r="M86" s="1">
        <v>17000</v>
      </c>
      <c r="N86" s="1">
        <v>17000</v>
      </c>
    </row>
  </sheetData>
  <mergeCells count="55">
    <mergeCell ref="K1:N1"/>
    <mergeCell ref="B85:B86"/>
    <mergeCell ref="A85:A86"/>
    <mergeCell ref="B2:N2"/>
    <mergeCell ref="A4:A5"/>
    <mergeCell ref="B4:B5"/>
    <mergeCell ref="C4:C5"/>
    <mergeCell ref="D4:G4"/>
    <mergeCell ref="H4:N4"/>
    <mergeCell ref="I16:I17"/>
    <mergeCell ref="J16:J17"/>
    <mergeCell ref="K16:K17"/>
    <mergeCell ref="A7:A15"/>
    <mergeCell ref="B7:B15"/>
    <mergeCell ref="A16:A21"/>
    <mergeCell ref="B16:B21"/>
    <mergeCell ref="L16:L17"/>
    <mergeCell ref="M16:M17"/>
    <mergeCell ref="N16:N17"/>
    <mergeCell ref="G16:G17"/>
    <mergeCell ref="H16:H17"/>
    <mergeCell ref="A22:A28"/>
    <mergeCell ref="B22:B28"/>
    <mergeCell ref="C22:C26"/>
    <mergeCell ref="D22:D26"/>
    <mergeCell ref="F16:F17"/>
    <mergeCell ref="D16:D17"/>
    <mergeCell ref="E16:E17"/>
    <mergeCell ref="B31:B32"/>
    <mergeCell ref="A33:A37"/>
    <mergeCell ref="B33:B37"/>
    <mergeCell ref="B38:B42"/>
    <mergeCell ref="C38:C42"/>
    <mergeCell ref="C70:C72"/>
    <mergeCell ref="D70:D72"/>
    <mergeCell ref="D38:D42"/>
    <mergeCell ref="A43:A56"/>
    <mergeCell ref="B43:B56"/>
    <mergeCell ref="C43:C56"/>
    <mergeCell ref="D43:D56"/>
    <mergeCell ref="A58:A61"/>
    <mergeCell ref="B58:B61"/>
    <mergeCell ref="C58:C60"/>
    <mergeCell ref="A63:A72"/>
    <mergeCell ref="B63:B72"/>
    <mergeCell ref="C63:C69"/>
    <mergeCell ref="D63:D69"/>
    <mergeCell ref="D58:D60"/>
    <mergeCell ref="A38:A42"/>
    <mergeCell ref="A73:A82"/>
    <mergeCell ref="B73:B82"/>
    <mergeCell ref="C73:C82"/>
    <mergeCell ref="D73:D82"/>
    <mergeCell ref="A83:A84"/>
    <mergeCell ref="B83:B8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6" manualBreakCount="6">
    <brk id="21" max="13" man="1"/>
    <brk id="28" max="13" man="1"/>
    <brk id="30" max="13" man="1"/>
    <brk id="37" max="13" man="1"/>
    <brk id="42" max="13" man="1"/>
    <brk id="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B216"/>
  <sheetViews>
    <sheetView tabSelected="1" view="pageBreakPreview" topLeftCell="A77" zoomScale="70" zoomScaleNormal="85" zoomScaleSheetLayoutView="70" workbookViewId="0">
      <selection activeCell="C81" sqref="C81:C83"/>
    </sheetView>
  </sheetViews>
  <sheetFormatPr defaultColWidth="9.140625" defaultRowHeight="12.75" x14ac:dyDescent="0.2"/>
  <cols>
    <col min="1" max="1" width="15.28515625" style="70" customWidth="1"/>
    <col min="2" max="2" width="28.140625" style="70" customWidth="1"/>
    <col min="3" max="3" width="12.140625" style="49" customWidth="1"/>
    <col min="4" max="4" width="34.5703125" style="49" customWidth="1"/>
    <col min="5" max="8" width="13.28515625" style="102" customWidth="1"/>
    <col min="9" max="9" width="16.85546875" style="102" customWidth="1"/>
    <col min="10" max="10" width="13.140625" style="102" customWidth="1"/>
    <col min="11" max="11" width="15.85546875" style="102" customWidth="1"/>
    <col min="12" max="12" width="15.140625" style="102" customWidth="1"/>
    <col min="13" max="14" width="13.28515625" style="102" customWidth="1"/>
    <col min="15" max="15" width="11.5703125" style="102" customWidth="1"/>
    <col min="16" max="16" width="12.5703125" style="102" customWidth="1"/>
    <col min="17" max="17" width="20.5703125" style="49" customWidth="1"/>
    <col min="18" max="18" width="15.42578125" style="49" customWidth="1"/>
    <col min="19" max="19" width="18.5703125" style="49" customWidth="1"/>
    <col min="20" max="20" width="15.28515625" style="49" customWidth="1"/>
    <col min="21" max="21" width="17" style="49" customWidth="1"/>
    <col min="22" max="22" width="12.140625" style="49" customWidth="1"/>
    <col min="23" max="16384" width="9.140625" style="49"/>
  </cols>
  <sheetData>
    <row r="1" spans="1:25" ht="26.25" customHeight="1" x14ac:dyDescent="0.2">
      <c r="A1" s="244" t="s">
        <v>223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30"/>
      <c r="M1" s="230"/>
      <c r="N1" s="230"/>
      <c r="O1" s="230"/>
    </row>
    <row r="2" spans="1:25" ht="26.25" customHeight="1" x14ac:dyDescent="0.2">
      <c r="A2" s="245" t="s">
        <v>220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25" x14ac:dyDescent="0.2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25" ht="51.75" customHeight="1" x14ac:dyDescent="0.2">
      <c r="A4" s="240" t="s">
        <v>193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25" ht="49.5" customHeight="1" x14ac:dyDescent="0.2">
      <c r="A5" s="241" t="s">
        <v>1</v>
      </c>
      <c r="B5" s="241" t="s">
        <v>187</v>
      </c>
      <c r="C5" s="243" t="s">
        <v>95</v>
      </c>
      <c r="D5" s="243"/>
      <c r="E5" s="232" t="s">
        <v>97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</row>
    <row r="6" spans="1:25" ht="57.75" customHeight="1" x14ac:dyDescent="0.2">
      <c r="A6" s="242"/>
      <c r="B6" s="242"/>
      <c r="C6" s="243"/>
      <c r="D6" s="243"/>
      <c r="E6" s="144">
        <v>2014</v>
      </c>
      <c r="F6" s="144">
        <v>2015</v>
      </c>
      <c r="G6" s="144">
        <v>2016</v>
      </c>
      <c r="H6" s="144">
        <v>2017</v>
      </c>
      <c r="I6" s="144">
        <v>2018</v>
      </c>
      <c r="J6" s="144">
        <v>2019</v>
      </c>
      <c r="K6" s="144">
        <v>2020</v>
      </c>
      <c r="L6" s="144">
        <v>2021</v>
      </c>
      <c r="M6" s="144">
        <v>2022</v>
      </c>
      <c r="N6" s="144">
        <v>2023</v>
      </c>
      <c r="O6" s="144">
        <v>2024</v>
      </c>
      <c r="P6" s="144">
        <v>2025</v>
      </c>
      <c r="R6" s="110"/>
      <c r="S6" s="112"/>
      <c r="T6" s="113"/>
      <c r="U6" s="113"/>
    </row>
    <row r="7" spans="1:25" ht="18.75" customHeight="1" x14ac:dyDescent="0.2">
      <c r="A7" s="91">
        <v>1</v>
      </c>
      <c r="B7" s="91">
        <v>2</v>
      </c>
      <c r="C7" s="231">
        <v>3</v>
      </c>
      <c r="D7" s="231"/>
      <c r="E7" s="100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R7" s="110"/>
      <c r="S7" s="112"/>
      <c r="T7" s="113"/>
      <c r="U7" s="113"/>
    </row>
    <row r="8" spans="1:25" s="50" customFormat="1" ht="19.5" customHeight="1" x14ac:dyDescent="0.2">
      <c r="A8" s="219" t="s">
        <v>157</v>
      </c>
      <c r="B8" s="217" t="s">
        <v>192</v>
      </c>
      <c r="C8" s="216" t="s">
        <v>102</v>
      </c>
      <c r="D8" s="237"/>
      <c r="E8" s="96">
        <f>SUM(E9:E15)</f>
        <v>7509925.2197900014</v>
      </c>
      <c r="F8" s="96">
        <f>SUM(F9:F15)</f>
        <v>6819704.7632200001</v>
      </c>
      <c r="G8" s="96">
        <f t="shared" ref="G8:K8" si="0">SUM(G9:G15)</f>
        <v>6846195.8000000007</v>
      </c>
      <c r="H8" s="96">
        <f t="shared" si="0"/>
        <v>7629965.7400000012</v>
      </c>
      <c r="I8" s="96">
        <f>SUM(I9:I15)</f>
        <v>8210233</v>
      </c>
      <c r="J8" s="96">
        <f t="shared" si="0"/>
        <v>7756585.2999999998</v>
      </c>
      <c r="K8" s="96">
        <f t="shared" si="0"/>
        <v>7317748.9999999981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51">
        <f>I8-'Приложение 4'!L8</f>
        <v>0</v>
      </c>
      <c r="R8" s="51">
        <f>J8-'Приложение 4'!M8</f>
        <v>0</v>
      </c>
      <c r="S8" s="51">
        <f>K8-'Приложение 4'!N8</f>
        <v>0</v>
      </c>
      <c r="T8" s="112"/>
      <c r="U8" s="112"/>
      <c r="V8" s="51"/>
      <c r="W8" s="51"/>
      <c r="X8" s="51"/>
      <c r="Y8" s="51"/>
    </row>
    <row r="9" spans="1:25" ht="43.5" customHeight="1" x14ac:dyDescent="0.2">
      <c r="A9" s="219"/>
      <c r="B9" s="218"/>
      <c r="C9" s="216" t="s">
        <v>96</v>
      </c>
      <c r="D9" s="143" t="s">
        <v>122</v>
      </c>
      <c r="E9" s="96">
        <f t="shared" ref="E9:H10" si="1">E17+E65+E121+E169+E193</f>
        <v>7018239.2997900015</v>
      </c>
      <c r="F9" s="96">
        <f t="shared" si="1"/>
        <v>6554077</v>
      </c>
      <c r="G9" s="96">
        <f t="shared" si="1"/>
        <v>6841341.9000000004</v>
      </c>
      <c r="H9" s="96">
        <f t="shared" si="1"/>
        <v>7229502.7400000012</v>
      </c>
      <c r="I9" s="96">
        <f>I17+I65+I121+I169+I193</f>
        <v>7938470.9000000004</v>
      </c>
      <c r="J9" s="96">
        <f t="shared" ref="J9:K10" si="2">J17+J65+J121+J169+J193</f>
        <v>6563890</v>
      </c>
      <c r="K9" s="96">
        <f>K17+K65+K121+K169+K193</f>
        <v>6202868.799999998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51">
        <f>SUM(E9:K9)</f>
        <v>48348390.639789999</v>
      </c>
      <c r="R9" s="113"/>
      <c r="S9" s="112"/>
      <c r="T9" s="112"/>
      <c r="U9" s="112"/>
      <c r="V9" s="54"/>
      <c r="W9" s="51"/>
    </row>
    <row r="10" spans="1:25" ht="42" customHeight="1" x14ac:dyDescent="0.2">
      <c r="A10" s="219"/>
      <c r="B10" s="218"/>
      <c r="C10" s="216"/>
      <c r="D10" s="143" t="s">
        <v>123</v>
      </c>
      <c r="E10" s="96">
        <f t="shared" ref="E10:H15" si="3">E18+E66+E122+E170</f>
        <v>491685.92</v>
      </c>
      <c r="F10" s="96">
        <f t="shared" si="3"/>
        <v>265627.76321999996</v>
      </c>
      <c r="G10" s="96">
        <f t="shared" si="1"/>
        <v>4853.9000000000005</v>
      </c>
      <c r="H10" s="96">
        <f t="shared" si="1"/>
        <v>400463</v>
      </c>
      <c r="I10" s="96">
        <f>I18+I66+I122+I170+I194</f>
        <v>271762.10000000003</v>
      </c>
      <c r="J10" s="96">
        <f t="shared" si="2"/>
        <v>1192695.2999999998</v>
      </c>
      <c r="K10" s="96">
        <f t="shared" si="2"/>
        <v>1114880.2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51">
        <f>SUM(E10:K10)</f>
        <v>3741968.18322</v>
      </c>
      <c r="R10" s="113"/>
      <c r="S10" s="112"/>
      <c r="T10" s="112"/>
      <c r="U10" s="112"/>
      <c r="V10" s="54"/>
      <c r="W10" s="51"/>
    </row>
    <row r="11" spans="1:25" ht="81" customHeight="1" x14ac:dyDescent="0.2">
      <c r="A11" s="219"/>
      <c r="B11" s="218"/>
      <c r="C11" s="216"/>
      <c r="D11" s="143" t="s">
        <v>189</v>
      </c>
      <c r="E11" s="96">
        <f t="shared" si="3"/>
        <v>0</v>
      </c>
      <c r="F11" s="96">
        <f t="shared" si="3"/>
        <v>0</v>
      </c>
      <c r="G11" s="96">
        <f t="shared" si="3"/>
        <v>0</v>
      </c>
      <c r="H11" s="96">
        <f t="shared" si="3"/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51"/>
      <c r="R11" s="114"/>
      <c r="S11" s="112"/>
      <c r="T11" s="112"/>
      <c r="U11" s="112"/>
      <c r="V11" s="51"/>
      <c r="W11" s="51"/>
    </row>
    <row r="12" spans="1:25" ht="15.75" x14ac:dyDescent="0.2">
      <c r="A12" s="219"/>
      <c r="B12" s="235"/>
      <c r="C12" s="216" t="s">
        <v>98</v>
      </c>
      <c r="D12" s="216"/>
      <c r="E12" s="96">
        <f t="shared" si="3"/>
        <v>0</v>
      </c>
      <c r="F12" s="96">
        <f t="shared" si="3"/>
        <v>0</v>
      </c>
      <c r="G12" s="96">
        <f t="shared" si="3"/>
        <v>0</v>
      </c>
      <c r="H12" s="96">
        <f t="shared" si="3"/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51"/>
      <c r="R12" s="115"/>
      <c r="S12" s="112"/>
      <c r="T12" s="112"/>
      <c r="U12" s="112"/>
      <c r="V12" s="51"/>
      <c r="W12" s="51"/>
    </row>
    <row r="13" spans="1:25" ht="26.25" customHeight="1" x14ac:dyDescent="0.2">
      <c r="A13" s="219"/>
      <c r="B13" s="235"/>
      <c r="C13" s="216" t="s">
        <v>99</v>
      </c>
      <c r="D13" s="216"/>
      <c r="E13" s="96">
        <f t="shared" si="3"/>
        <v>0</v>
      </c>
      <c r="F13" s="96">
        <f t="shared" si="3"/>
        <v>0</v>
      </c>
      <c r="G13" s="96">
        <f t="shared" si="3"/>
        <v>0</v>
      </c>
      <c r="H13" s="96">
        <f t="shared" si="3"/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51"/>
      <c r="R13" s="114"/>
      <c r="S13" s="116"/>
      <c r="T13" s="112"/>
      <c r="U13" s="112"/>
      <c r="V13" s="51"/>
      <c r="W13" s="51"/>
    </row>
    <row r="14" spans="1:25" ht="24.75" customHeight="1" x14ac:dyDescent="0.2">
      <c r="A14" s="219"/>
      <c r="B14" s="235"/>
      <c r="C14" s="216" t="s">
        <v>100</v>
      </c>
      <c r="D14" s="216"/>
      <c r="E14" s="96">
        <f t="shared" si="3"/>
        <v>0</v>
      </c>
      <c r="F14" s="96">
        <f t="shared" si="3"/>
        <v>0</v>
      </c>
      <c r="G14" s="96">
        <f t="shared" si="3"/>
        <v>0</v>
      </c>
      <c r="H14" s="96">
        <f t="shared" si="3"/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51"/>
      <c r="R14" s="115"/>
      <c r="S14" s="116"/>
      <c r="T14" s="112"/>
      <c r="U14" s="112"/>
      <c r="V14" s="51"/>
      <c r="W14" s="51"/>
    </row>
    <row r="15" spans="1:25" ht="12.75" customHeight="1" x14ac:dyDescent="0.2">
      <c r="A15" s="219"/>
      <c r="B15" s="236"/>
      <c r="C15" s="238" t="s">
        <v>105</v>
      </c>
      <c r="D15" s="239"/>
      <c r="E15" s="96">
        <f t="shared" si="3"/>
        <v>0</v>
      </c>
      <c r="F15" s="96">
        <f t="shared" si="3"/>
        <v>0</v>
      </c>
      <c r="G15" s="96">
        <f t="shared" si="3"/>
        <v>0</v>
      </c>
      <c r="H15" s="96">
        <f t="shared" si="3"/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51"/>
      <c r="R15" s="115"/>
      <c r="S15" s="116"/>
      <c r="T15" s="116"/>
      <c r="U15" s="116"/>
      <c r="V15" s="51"/>
      <c r="W15" s="51"/>
    </row>
    <row r="16" spans="1:25" ht="15.75" x14ac:dyDescent="0.2">
      <c r="A16" s="219" t="s">
        <v>101</v>
      </c>
      <c r="B16" s="219" t="s">
        <v>129</v>
      </c>
      <c r="C16" s="216" t="s">
        <v>102</v>
      </c>
      <c r="D16" s="216"/>
      <c r="E16" s="96">
        <f>SUM(E17:E23)</f>
        <v>1023464.2</v>
      </c>
      <c r="F16" s="96">
        <f>SUM(F17:F23)</f>
        <v>892585.60000000009</v>
      </c>
      <c r="G16" s="96">
        <f>SUM(G17:G23)</f>
        <v>854428.1</v>
      </c>
      <c r="H16" s="96">
        <f>SUM(H17:H23)</f>
        <v>837084.3</v>
      </c>
      <c r="I16" s="96">
        <f>SUM(I17:I23)</f>
        <v>911480.9</v>
      </c>
      <c r="J16" s="96">
        <f t="shared" ref="J16:K16" si="4">SUM(J17:J23)</f>
        <v>746582.59999999986</v>
      </c>
      <c r="K16" s="96">
        <f t="shared" si="4"/>
        <v>711979.50000000012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54"/>
      <c r="R16" s="113"/>
      <c r="S16" s="116"/>
      <c r="T16" s="116"/>
      <c r="U16" s="116"/>
      <c r="V16" s="54"/>
      <c r="W16" s="51"/>
    </row>
    <row r="17" spans="1:23" ht="40.5" customHeight="1" x14ac:dyDescent="0.2">
      <c r="A17" s="219"/>
      <c r="B17" s="219"/>
      <c r="C17" s="216" t="s">
        <v>96</v>
      </c>
      <c r="D17" s="89" t="s">
        <v>124</v>
      </c>
      <c r="E17" s="96">
        <f t="shared" ref="E17:H23" si="5">E25+E33+E41+E49+E57</f>
        <v>1022131.3999999999</v>
      </c>
      <c r="F17" s="96">
        <f t="shared" si="5"/>
        <v>891381.60000000009</v>
      </c>
      <c r="G17" s="96">
        <f t="shared" si="5"/>
        <v>854428.1</v>
      </c>
      <c r="H17" s="96">
        <v>837084.3</v>
      </c>
      <c r="I17" s="96">
        <f>I25+I33+I41+I49+I57</f>
        <v>911480.9</v>
      </c>
      <c r="J17" s="96">
        <f t="shared" ref="J17:K17" si="6">J25+J33+J41+J49+J57</f>
        <v>746582.59999999986</v>
      </c>
      <c r="K17" s="96">
        <f t="shared" si="6"/>
        <v>711979.50000000012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13</v>
      </c>
      <c r="Q17" s="54"/>
      <c r="R17" s="113"/>
      <c r="S17" s="116"/>
      <c r="T17" s="116"/>
      <c r="U17" s="116"/>
      <c r="V17" s="54"/>
      <c r="W17" s="51"/>
    </row>
    <row r="18" spans="1:23" ht="39.75" customHeight="1" x14ac:dyDescent="0.2">
      <c r="A18" s="219"/>
      <c r="B18" s="219"/>
      <c r="C18" s="216"/>
      <c r="D18" s="89" t="s">
        <v>125</v>
      </c>
      <c r="E18" s="96">
        <f t="shared" si="5"/>
        <v>1332.8</v>
      </c>
      <c r="F18" s="96">
        <f t="shared" si="5"/>
        <v>1204</v>
      </c>
      <c r="G18" s="96">
        <f t="shared" si="5"/>
        <v>0</v>
      </c>
      <c r="H18" s="96">
        <f t="shared" si="5"/>
        <v>0</v>
      </c>
      <c r="I18" s="96">
        <v>0</v>
      </c>
      <c r="J18" s="96">
        <v>0</v>
      </c>
      <c r="K18" s="96">
        <v>0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51"/>
      <c r="R18" s="114"/>
      <c r="S18" s="112"/>
      <c r="T18" s="112"/>
      <c r="U18" s="112"/>
      <c r="V18" s="51"/>
      <c r="W18" s="51"/>
    </row>
    <row r="19" spans="1:23" ht="66.75" customHeight="1" x14ac:dyDescent="0.2">
      <c r="A19" s="219"/>
      <c r="B19" s="219"/>
      <c r="C19" s="216"/>
      <c r="D19" s="89" t="s">
        <v>127</v>
      </c>
      <c r="E19" s="96">
        <f t="shared" si="5"/>
        <v>0</v>
      </c>
      <c r="F19" s="96">
        <f t="shared" si="5"/>
        <v>0</v>
      </c>
      <c r="G19" s="96">
        <f t="shared" si="5"/>
        <v>0</v>
      </c>
      <c r="H19" s="96">
        <f t="shared" si="5"/>
        <v>0</v>
      </c>
      <c r="I19" s="96">
        <v>0</v>
      </c>
      <c r="J19" s="96">
        <v>0</v>
      </c>
      <c r="K19" s="96">
        <v>0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13</v>
      </c>
      <c r="Q19" s="51"/>
      <c r="R19" s="115"/>
      <c r="S19" s="112"/>
      <c r="T19" s="112"/>
      <c r="U19" s="112"/>
      <c r="V19" s="51"/>
      <c r="W19" s="51"/>
    </row>
    <row r="20" spans="1:23" ht="15.75" customHeight="1" x14ac:dyDescent="0.2">
      <c r="A20" s="219"/>
      <c r="B20" s="219"/>
      <c r="C20" s="216" t="s">
        <v>103</v>
      </c>
      <c r="D20" s="216"/>
      <c r="E20" s="96">
        <f t="shared" si="5"/>
        <v>0</v>
      </c>
      <c r="F20" s="96">
        <f t="shared" si="5"/>
        <v>0</v>
      </c>
      <c r="G20" s="96">
        <f t="shared" si="5"/>
        <v>0</v>
      </c>
      <c r="H20" s="96">
        <f t="shared" si="5"/>
        <v>0</v>
      </c>
      <c r="I20" s="96">
        <v>0</v>
      </c>
      <c r="J20" s="96">
        <v>0</v>
      </c>
      <c r="K20" s="96">
        <v>0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51"/>
      <c r="R20" s="115"/>
      <c r="S20" s="111"/>
      <c r="T20" s="111"/>
      <c r="U20" s="111"/>
      <c r="V20" s="51"/>
      <c r="W20" s="51"/>
    </row>
    <row r="21" spans="1:23" ht="30" customHeight="1" x14ac:dyDescent="0.2">
      <c r="A21" s="219"/>
      <c r="B21" s="219"/>
      <c r="C21" s="216" t="s">
        <v>99</v>
      </c>
      <c r="D21" s="216"/>
      <c r="E21" s="96">
        <f t="shared" si="5"/>
        <v>0</v>
      </c>
      <c r="F21" s="96">
        <f t="shared" si="5"/>
        <v>0</v>
      </c>
      <c r="G21" s="96">
        <f t="shared" si="5"/>
        <v>0</v>
      </c>
      <c r="H21" s="96">
        <f t="shared" si="5"/>
        <v>0</v>
      </c>
      <c r="I21" s="96">
        <v>0</v>
      </c>
      <c r="J21" s="96">
        <v>0</v>
      </c>
      <c r="K21" s="96">
        <v>0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51"/>
      <c r="R21" s="115"/>
      <c r="S21" s="111"/>
      <c r="T21" s="111"/>
      <c r="U21" s="111"/>
      <c r="V21" s="51"/>
      <c r="W21" s="51"/>
    </row>
    <row r="22" spans="1:23" ht="26.25" customHeight="1" x14ac:dyDescent="0.2">
      <c r="A22" s="219"/>
      <c r="B22" s="219"/>
      <c r="C22" s="216" t="s">
        <v>104</v>
      </c>
      <c r="D22" s="216"/>
      <c r="E22" s="96">
        <f t="shared" si="5"/>
        <v>0</v>
      </c>
      <c r="F22" s="96">
        <f t="shared" si="5"/>
        <v>0</v>
      </c>
      <c r="G22" s="96">
        <f t="shared" si="5"/>
        <v>0</v>
      </c>
      <c r="H22" s="96">
        <f t="shared" si="5"/>
        <v>0</v>
      </c>
      <c r="I22" s="96">
        <v>0</v>
      </c>
      <c r="J22" s="96">
        <v>0</v>
      </c>
      <c r="K22" s="96">
        <v>0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13</v>
      </c>
      <c r="Q22" s="51"/>
      <c r="R22" s="115"/>
      <c r="S22" s="111"/>
      <c r="T22" s="111"/>
      <c r="U22" s="111"/>
      <c r="V22" s="51"/>
      <c r="W22" s="51"/>
    </row>
    <row r="23" spans="1:23" ht="16.5" customHeight="1" x14ac:dyDescent="0.2">
      <c r="A23" s="219"/>
      <c r="B23" s="219"/>
      <c r="C23" s="246" t="s">
        <v>105</v>
      </c>
      <c r="D23" s="247"/>
      <c r="E23" s="96">
        <f t="shared" si="5"/>
        <v>0</v>
      </c>
      <c r="F23" s="96">
        <f t="shared" si="5"/>
        <v>0</v>
      </c>
      <c r="G23" s="96">
        <f t="shared" si="5"/>
        <v>0</v>
      </c>
      <c r="H23" s="96">
        <f t="shared" si="5"/>
        <v>0</v>
      </c>
      <c r="I23" s="96">
        <v>0</v>
      </c>
      <c r="J23" s="96">
        <v>0</v>
      </c>
      <c r="K23" s="96">
        <v>0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51"/>
      <c r="R23" s="115"/>
      <c r="S23" s="111"/>
      <c r="T23" s="111"/>
      <c r="U23" s="111"/>
      <c r="V23" s="51"/>
      <c r="W23" s="51"/>
    </row>
    <row r="24" spans="1:23" ht="15" customHeight="1" x14ac:dyDescent="0.2">
      <c r="A24" s="217" t="s">
        <v>171</v>
      </c>
      <c r="B24" s="217" t="s">
        <v>203</v>
      </c>
      <c r="C24" s="216" t="s">
        <v>102</v>
      </c>
      <c r="D24" s="216"/>
      <c r="E24" s="96">
        <v>875406.1</v>
      </c>
      <c r="F24" s="96">
        <v>745416.4</v>
      </c>
      <c r="G24" s="96">
        <v>753381</v>
      </c>
      <c r="H24" s="96">
        <v>723338</v>
      </c>
      <c r="I24" s="96">
        <f>SUM(I25:I31)</f>
        <v>783724.6</v>
      </c>
      <c r="J24" s="96">
        <f t="shared" ref="J24:K24" si="7">SUM(J25:J31)</f>
        <v>646275.89999999991</v>
      </c>
      <c r="K24" s="96">
        <f t="shared" si="7"/>
        <v>616810.10000000009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54"/>
      <c r="R24" s="113"/>
      <c r="S24" s="113"/>
      <c r="T24" s="113"/>
      <c r="U24" s="113"/>
      <c r="V24" s="54"/>
      <c r="W24" s="51"/>
    </row>
    <row r="25" spans="1:23" ht="39.75" customHeight="1" x14ac:dyDescent="0.2">
      <c r="A25" s="218"/>
      <c r="B25" s="218"/>
      <c r="C25" s="216" t="s">
        <v>96</v>
      </c>
      <c r="D25" s="143" t="s">
        <v>124</v>
      </c>
      <c r="E25" s="96">
        <v>874573.29999999993</v>
      </c>
      <c r="F25" s="96">
        <v>744712.4</v>
      </c>
      <c r="G25" s="96">
        <v>753381</v>
      </c>
      <c r="H25" s="96">
        <v>723338</v>
      </c>
      <c r="I25" s="96">
        <f>'[2]Приложение 4'!L18</f>
        <v>783724.6</v>
      </c>
      <c r="J25" s="96">
        <f>'[2]Приложение 4'!M18</f>
        <v>646275.89999999991</v>
      </c>
      <c r="K25" s="96">
        <f>'[2]Приложение 4'!N18</f>
        <v>616810.10000000009</v>
      </c>
      <c r="L25" s="1" t="s">
        <v>13</v>
      </c>
      <c r="M25" s="1" t="s">
        <v>13</v>
      </c>
      <c r="N25" s="1" t="s">
        <v>13</v>
      </c>
      <c r="O25" s="1" t="s">
        <v>13</v>
      </c>
      <c r="P25" s="1" t="s">
        <v>13</v>
      </c>
      <c r="Q25" s="51"/>
      <c r="R25" s="115"/>
      <c r="S25" s="111"/>
      <c r="T25" s="111"/>
      <c r="U25" s="111"/>
      <c r="V25" s="51"/>
      <c r="W25" s="51"/>
    </row>
    <row r="26" spans="1:23" ht="39.75" customHeight="1" x14ac:dyDescent="0.2">
      <c r="A26" s="218"/>
      <c r="B26" s="218"/>
      <c r="C26" s="216"/>
      <c r="D26" s="143" t="s">
        <v>125</v>
      </c>
      <c r="E26" s="96">
        <v>832.8</v>
      </c>
      <c r="F26" s="96">
        <v>704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51"/>
      <c r="R26" s="115"/>
      <c r="S26" s="111"/>
      <c r="T26" s="111"/>
      <c r="U26" s="111"/>
      <c r="V26" s="51"/>
      <c r="W26" s="51"/>
    </row>
    <row r="27" spans="1:23" ht="54" customHeight="1" x14ac:dyDescent="0.2">
      <c r="A27" s="218"/>
      <c r="B27" s="218"/>
      <c r="C27" s="216"/>
      <c r="D27" s="143" t="s">
        <v>127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13</v>
      </c>
      <c r="Q27" s="51"/>
      <c r="R27" s="115"/>
      <c r="S27" s="111"/>
      <c r="T27" s="111"/>
      <c r="U27" s="111"/>
      <c r="V27" s="51"/>
      <c r="W27" s="51"/>
    </row>
    <row r="28" spans="1:23" ht="19.5" customHeight="1" x14ac:dyDescent="0.2">
      <c r="A28" s="218"/>
      <c r="B28" s="218"/>
      <c r="C28" s="216" t="s">
        <v>103</v>
      </c>
      <c r="D28" s="216"/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51"/>
      <c r="R28" s="115"/>
      <c r="S28" s="111"/>
      <c r="T28" s="111"/>
      <c r="U28" s="111"/>
      <c r="V28" s="51"/>
      <c r="W28" s="51"/>
    </row>
    <row r="29" spans="1:23" ht="27.75" customHeight="1" x14ac:dyDescent="0.2">
      <c r="A29" s="218"/>
      <c r="B29" s="218"/>
      <c r="C29" s="216" t="s">
        <v>99</v>
      </c>
      <c r="D29" s="216"/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51"/>
      <c r="R29" s="115"/>
      <c r="S29" s="111"/>
      <c r="T29" s="111"/>
      <c r="U29" s="111"/>
      <c r="V29" s="51"/>
      <c r="W29" s="51"/>
    </row>
    <row r="30" spans="1:23" ht="29.25" customHeight="1" x14ac:dyDescent="0.2">
      <c r="A30" s="218"/>
      <c r="B30" s="218"/>
      <c r="C30" s="216" t="s">
        <v>104</v>
      </c>
      <c r="D30" s="216"/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13</v>
      </c>
      <c r="Q30" s="51"/>
      <c r="R30" s="115"/>
      <c r="S30" s="111"/>
      <c r="T30" s="111"/>
      <c r="U30" s="111"/>
      <c r="V30" s="51"/>
      <c r="W30" s="51"/>
    </row>
    <row r="31" spans="1:23" ht="16.5" customHeight="1" x14ac:dyDescent="0.2">
      <c r="A31" s="221"/>
      <c r="B31" s="221"/>
      <c r="C31" s="238" t="s">
        <v>105</v>
      </c>
      <c r="D31" s="239"/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13</v>
      </c>
      <c r="Q31" s="51"/>
      <c r="R31" s="115"/>
      <c r="S31" s="111"/>
      <c r="T31" s="111"/>
      <c r="U31" s="111"/>
      <c r="V31" s="51"/>
      <c r="W31" s="51"/>
    </row>
    <row r="32" spans="1:23" ht="16.5" customHeight="1" x14ac:dyDescent="0.2">
      <c r="A32" s="217" t="s">
        <v>172</v>
      </c>
      <c r="B32" s="217" t="s">
        <v>204</v>
      </c>
      <c r="C32" s="216" t="s">
        <v>102</v>
      </c>
      <c r="D32" s="216"/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51"/>
      <c r="R32" s="115"/>
      <c r="S32" s="111"/>
      <c r="T32" s="111"/>
      <c r="U32" s="111"/>
      <c r="V32" s="51"/>
      <c r="W32" s="51"/>
    </row>
    <row r="33" spans="1:28" ht="42" customHeight="1" x14ac:dyDescent="0.2">
      <c r="A33" s="218"/>
      <c r="B33" s="218"/>
      <c r="C33" s="216" t="s">
        <v>96</v>
      </c>
      <c r="D33" s="89" t="s">
        <v>124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51"/>
      <c r="R33" s="115"/>
      <c r="S33" s="111"/>
      <c r="T33" s="111"/>
      <c r="U33" s="111"/>
      <c r="V33" s="51"/>
      <c r="W33" s="51"/>
    </row>
    <row r="34" spans="1:28" ht="40.5" customHeight="1" x14ac:dyDescent="0.2">
      <c r="A34" s="218"/>
      <c r="B34" s="218"/>
      <c r="C34" s="216"/>
      <c r="D34" s="89" t="s">
        <v>125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13</v>
      </c>
      <c r="Q34" s="51"/>
      <c r="R34" s="115"/>
      <c r="S34" s="111"/>
      <c r="T34" s="111"/>
      <c r="U34" s="111"/>
      <c r="V34" s="51"/>
      <c r="W34" s="51"/>
    </row>
    <row r="35" spans="1:28" ht="53.25" customHeight="1" x14ac:dyDescent="0.2">
      <c r="A35" s="218"/>
      <c r="B35" s="218"/>
      <c r="C35" s="216"/>
      <c r="D35" s="89" t="s">
        <v>127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51"/>
      <c r="R35" s="115"/>
      <c r="S35" s="111"/>
      <c r="T35" s="111"/>
      <c r="U35" s="111"/>
      <c r="V35" s="51"/>
      <c r="W35" s="51"/>
    </row>
    <row r="36" spans="1:28" ht="19.5" customHeight="1" x14ac:dyDescent="0.2">
      <c r="A36" s="218"/>
      <c r="B36" s="218"/>
      <c r="C36" s="216" t="s">
        <v>103</v>
      </c>
      <c r="D36" s="216"/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51"/>
      <c r="R36" s="115"/>
      <c r="S36" s="111"/>
      <c r="T36" s="111"/>
      <c r="U36" s="111"/>
      <c r="V36" s="51"/>
      <c r="W36" s="51"/>
    </row>
    <row r="37" spans="1:28" ht="28.5" customHeight="1" x14ac:dyDescent="0.2">
      <c r="A37" s="218"/>
      <c r="B37" s="218"/>
      <c r="C37" s="216" t="s">
        <v>99</v>
      </c>
      <c r="D37" s="216"/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51"/>
      <c r="R37" s="115"/>
      <c r="S37" s="111"/>
      <c r="T37" s="111"/>
      <c r="U37" s="111"/>
      <c r="V37" s="51"/>
      <c r="W37" s="51"/>
    </row>
    <row r="38" spans="1:28" ht="21.75" customHeight="1" x14ac:dyDescent="0.2">
      <c r="A38" s="218"/>
      <c r="B38" s="218"/>
      <c r="C38" s="216" t="s">
        <v>104</v>
      </c>
      <c r="D38" s="216"/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1" t="s">
        <v>13</v>
      </c>
      <c r="M38" s="1" t="s">
        <v>13</v>
      </c>
      <c r="N38" s="1" t="s">
        <v>13</v>
      </c>
      <c r="O38" s="1" t="s">
        <v>13</v>
      </c>
      <c r="P38" s="1" t="s">
        <v>13</v>
      </c>
      <c r="Q38" s="51"/>
      <c r="R38" s="115"/>
      <c r="S38" s="111"/>
      <c r="T38" s="111"/>
      <c r="U38" s="111"/>
      <c r="V38" s="51"/>
      <c r="W38" s="51"/>
    </row>
    <row r="39" spans="1:28" ht="15.75" customHeight="1" x14ac:dyDescent="0.2">
      <c r="A39" s="218"/>
      <c r="B39" s="218"/>
      <c r="C39" s="216" t="s">
        <v>105</v>
      </c>
      <c r="D39" s="216"/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13</v>
      </c>
      <c r="Q39" s="51"/>
      <c r="R39" s="115"/>
      <c r="S39" s="111"/>
      <c r="T39" s="111"/>
      <c r="U39" s="111"/>
      <c r="V39" s="51"/>
      <c r="W39" s="51"/>
    </row>
    <row r="40" spans="1:28" ht="15.75" customHeight="1" x14ac:dyDescent="0.2">
      <c r="A40" s="217" t="s">
        <v>173</v>
      </c>
      <c r="B40" s="217" t="s">
        <v>205</v>
      </c>
      <c r="C40" s="216" t="s">
        <v>102</v>
      </c>
      <c r="D40" s="216"/>
      <c r="E40" s="96">
        <v>27306.9</v>
      </c>
      <c r="F40" s="96">
        <v>22712.9</v>
      </c>
      <c r="G40" s="96">
        <v>23382.1</v>
      </c>
      <c r="H40" s="96">
        <v>22321</v>
      </c>
      <c r="I40" s="96">
        <f>SUM(I41:I47)</f>
        <v>23951.3</v>
      </c>
      <c r="J40" s="96">
        <f t="shared" ref="J40:K40" si="8">SUM(J41:J47)</f>
        <v>19306.7</v>
      </c>
      <c r="K40" s="96">
        <f t="shared" si="8"/>
        <v>18669.400000000001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51"/>
      <c r="R40" s="115"/>
      <c r="S40" s="111"/>
      <c r="T40" s="111"/>
      <c r="U40" s="111"/>
      <c r="V40" s="51"/>
      <c r="W40" s="51"/>
    </row>
    <row r="41" spans="1:28" ht="40.5" customHeight="1" x14ac:dyDescent="0.2">
      <c r="A41" s="218"/>
      <c r="B41" s="218"/>
      <c r="C41" s="216" t="s">
        <v>96</v>
      </c>
      <c r="D41" s="89" t="s">
        <v>124</v>
      </c>
      <c r="E41" s="96">
        <v>27306.9</v>
      </c>
      <c r="F41" s="96">
        <v>22712.9</v>
      </c>
      <c r="G41" s="96">
        <v>23382.1</v>
      </c>
      <c r="H41" s="96">
        <v>22321</v>
      </c>
      <c r="I41" s="96">
        <f>'[2]Приложение 4'!L30</f>
        <v>23951.3</v>
      </c>
      <c r="J41" s="96">
        <f>'[2]Приложение 4'!M30</f>
        <v>19306.7</v>
      </c>
      <c r="K41" s="96">
        <f>'[2]Приложение 4'!N30</f>
        <v>18669.400000000001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13</v>
      </c>
      <c r="Q41" s="51"/>
      <c r="R41" s="115"/>
      <c r="S41" s="111"/>
      <c r="T41" s="111"/>
      <c r="U41" s="111"/>
      <c r="V41" s="51"/>
      <c r="W41" s="51"/>
    </row>
    <row r="42" spans="1:28" ht="40.5" customHeight="1" x14ac:dyDescent="0.2">
      <c r="A42" s="218"/>
      <c r="B42" s="218"/>
      <c r="C42" s="216"/>
      <c r="D42" s="89" t="s">
        <v>125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13</v>
      </c>
      <c r="Q42" s="51"/>
      <c r="R42" s="115"/>
      <c r="S42" s="111"/>
      <c r="T42" s="111"/>
      <c r="U42" s="111"/>
      <c r="V42" s="51"/>
      <c r="W42" s="51"/>
    </row>
    <row r="43" spans="1:28" ht="55.5" customHeight="1" x14ac:dyDescent="0.2">
      <c r="A43" s="218"/>
      <c r="B43" s="218"/>
      <c r="C43" s="216"/>
      <c r="D43" s="89" t="s">
        <v>127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51"/>
      <c r="R43" s="115"/>
      <c r="S43" s="111"/>
      <c r="T43" s="111"/>
      <c r="U43" s="111"/>
      <c r="V43" s="51"/>
      <c r="W43" s="51"/>
    </row>
    <row r="44" spans="1:28" ht="15.75" customHeight="1" x14ac:dyDescent="0.2">
      <c r="A44" s="218"/>
      <c r="B44" s="218"/>
      <c r="C44" s="216" t="s">
        <v>103</v>
      </c>
      <c r="D44" s="216"/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51"/>
      <c r="R44" s="115"/>
      <c r="S44" s="111"/>
      <c r="T44" s="111"/>
      <c r="U44" s="111"/>
      <c r="V44" s="51"/>
      <c r="W44" s="51"/>
    </row>
    <row r="45" spans="1:28" ht="27.75" customHeight="1" x14ac:dyDescent="0.2">
      <c r="A45" s="218"/>
      <c r="B45" s="218"/>
      <c r="C45" s="216" t="s">
        <v>99</v>
      </c>
      <c r="D45" s="216"/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1" t="s">
        <v>13</v>
      </c>
      <c r="M45" s="1" t="s">
        <v>13</v>
      </c>
      <c r="N45" s="1" t="s">
        <v>13</v>
      </c>
      <c r="O45" s="1" t="s">
        <v>13</v>
      </c>
      <c r="P45" s="1" t="s">
        <v>13</v>
      </c>
      <c r="Q45" s="51"/>
      <c r="R45" s="115"/>
      <c r="S45" s="111"/>
      <c r="T45" s="111"/>
      <c r="U45" s="111"/>
      <c r="V45" s="51"/>
      <c r="W45" s="51"/>
    </row>
    <row r="46" spans="1:28" ht="30.75" customHeight="1" x14ac:dyDescent="0.2">
      <c r="A46" s="218"/>
      <c r="B46" s="218"/>
      <c r="C46" s="216" t="s">
        <v>104</v>
      </c>
      <c r="D46" s="216"/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1" t="s">
        <v>13</v>
      </c>
      <c r="M46" s="1" t="s">
        <v>13</v>
      </c>
      <c r="N46" s="1" t="s">
        <v>13</v>
      </c>
      <c r="O46" s="1" t="s">
        <v>13</v>
      </c>
      <c r="P46" s="1" t="s">
        <v>13</v>
      </c>
      <c r="Q46" s="51"/>
      <c r="R46" s="115"/>
      <c r="S46" s="111"/>
      <c r="T46" s="111"/>
      <c r="U46" s="111"/>
      <c r="V46" s="51"/>
      <c r="W46" s="51"/>
    </row>
    <row r="47" spans="1:28" ht="17.25" customHeight="1" x14ac:dyDescent="0.2">
      <c r="A47" s="218"/>
      <c r="B47" s="218"/>
      <c r="C47" s="216" t="s">
        <v>105</v>
      </c>
      <c r="D47" s="216"/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13</v>
      </c>
      <c r="Q47" s="51"/>
      <c r="R47" s="115"/>
      <c r="S47" s="111"/>
      <c r="T47" s="111"/>
      <c r="U47" s="111"/>
      <c r="V47" s="51"/>
      <c r="W47" s="51"/>
    </row>
    <row r="48" spans="1:28" ht="17.25" customHeight="1" x14ac:dyDescent="0.2">
      <c r="A48" s="217" t="s">
        <v>174</v>
      </c>
      <c r="B48" s="217" t="s">
        <v>206</v>
      </c>
      <c r="C48" s="216" t="s">
        <v>102</v>
      </c>
      <c r="D48" s="216"/>
      <c r="E48" s="96">
        <v>120751.2</v>
      </c>
      <c r="F48" s="96">
        <v>124456.3</v>
      </c>
      <c r="G48" s="96">
        <v>77665</v>
      </c>
      <c r="H48" s="96">
        <v>91425</v>
      </c>
      <c r="I48" s="96">
        <f>SUM(I49:I55)</f>
        <v>91655</v>
      </c>
      <c r="J48" s="96">
        <f t="shared" ref="J48:K48" si="9">SUM(J49:J55)</f>
        <v>81000</v>
      </c>
      <c r="K48" s="96">
        <f t="shared" si="9"/>
        <v>76500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54"/>
      <c r="R48" s="113"/>
      <c r="S48" s="113"/>
      <c r="T48" s="113"/>
      <c r="U48" s="113"/>
      <c r="V48" s="54"/>
      <c r="W48" s="54"/>
      <c r="X48" s="54"/>
      <c r="Y48" s="54"/>
      <c r="Z48" s="54"/>
      <c r="AA48" s="54"/>
      <c r="AB48" s="54"/>
    </row>
    <row r="49" spans="1:25" ht="41.25" customHeight="1" x14ac:dyDescent="0.2">
      <c r="A49" s="218"/>
      <c r="B49" s="218"/>
      <c r="C49" s="216" t="s">
        <v>96</v>
      </c>
      <c r="D49" s="89" t="s">
        <v>124</v>
      </c>
      <c r="E49" s="96">
        <v>120251.2</v>
      </c>
      <c r="F49" s="96">
        <v>123956.3</v>
      </c>
      <c r="G49" s="96">
        <v>77665</v>
      </c>
      <c r="H49" s="96">
        <v>91425</v>
      </c>
      <c r="I49" s="96">
        <f>'[2]Приложение 4'!L31</f>
        <v>91655</v>
      </c>
      <c r="J49" s="96">
        <f>'[2]Приложение 4'!M31</f>
        <v>81000</v>
      </c>
      <c r="K49" s="96">
        <f>'[2]Приложение 4'!N31</f>
        <v>76500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13</v>
      </c>
      <c r="Q49" s="54"/>
      <c r="R49" s="113"/>
      <c r="S49" s="113"/>
      <c r="T49" s="113"/>
      <c r="U49" s="113"/>
      <c r="V49" s="54"/>
      <c r="W49" s="51"/>
    </row>
    <row r="50" spans="1:25" ht="40.5" customHeight="1" x14ac:dyDescent="0.2">
      <c r="A50" s="218"/>
      <c r="B50" s="218"/>
      <c r="C50" s="216"/>
      <c r="D50" s="89" t="s">
        <v>125</v>
      </c>
      <c r="E50" s="96">
        <v>500</v>
      </c>
      <c r="F50" s="96">
        <v>500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1" t="s">
        <v>13</v>
      </c>
      <c r="M50" s="1" t="s">
        <v>13</v>
      </c>
      <c r="N50" s="1" t="s">
        <v>13</v>
      </c>
      <c r="O50" s="1" t="s">
        <v>13</v>
      </c>
      <c r="P50" s="1" t="s">
        <v>13</v>
      </c>
      <c r="Q50" s="51"/>
      <c r="R50" s="115"/>
      <c r="S50" s="111"/>
      <c r="T50" s="111"/>
      <c r="U50" s="111"/>
      <c r="V50" s="51"/>
      <c r="W50" s="51"/>
    </row>
    <row r="51" spans="1:25" ht="55.5" customHeight="1" x14ac:dyDescent="0.2">
      <c r="A51" s="218"/>
      <c r="B51" s="218"/>
      <c r="C51" s="216"/>
      <c r="D51" s="89" t="s">
        <v>127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13</v>
      </c>
      <c r="Q51" s="51"/>
      <c r="R51" s="115"/>
      <c r="S51" s="111"/>
      <c r="T51" s="111"/>
      <c r="U51" s="111"/>
      <c r="V51" s="51"/>
      <c r="W51" s="51"/>
    </row>
    <row r="52" spans="1:25" ht="15.75" customHeight="1" x14ac:dyDescent="0.2">
      <c r="A52" s="218"/>
      <c r="B52" s="218"/>
      <c r="C52" s="216" t="s">
        <v>103</v>
      </c>
      <c r="D52" s="216"/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13</v>
      </c>
      <c r="Q52" s="51"/>
      <c r="R52" s="115"/>
      <c r="S52" s="111"/>
      <c r="T52" s="111"/>
      <c r="U52" s="111"/>
      <c r="V52" s="51"/>
      <c r="W52" s="51"/>
    </row>
    <row r="53" spans="1:25" ht="26.25" customHeight="1" x14ac:dyDescent="0.2">
      <c r="A53" s="218"/>
      <c r="B53" s="218"/>
      <c r="C53" s="216" t="s">
        <v>99</v>
      </c>
      <c r="D53" s="216"/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51"/>
      <c r="R53" s="115"/>
      <c r="S53" s="111"/>
      <c r="T53" s="111"/>
      <c r="U53" s="111"/>
      <c r="V53" s="51"/>
      <c r="W53" s="51"/>
    </row>
    <row r="54" spans="1:25" ht="27" customHeight="1" x14ac:dyDescent="0.2">
      <c r="A54" s="218"/>
      <c r="B54" s="218"/>
      <c r="C54" s="216" t="s">
        <v>104</v>
      </c>
      <c r="D54" s="216"/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13</v>
      </c>
      <c r="Q54" s="51"/>
      <c r="R54" s="115"/>
      <c r="S54" s="111"/>
      <c r="T54" s="111"/>
      <c r="U54" s="111"/>
      <c r="V54" s="51"/>
      <c r="W54" s="51"/>
    </row>
    <row r="55" spans="1:25" ht="16.5" customHeight="1" x14ac:dyDescent="0.2">
      <c r="A55" s="218"/>
      <c r="B55" s="218"/>
      <c r="C55" s="216" t="s">
        <v>105</v>
      </c>
      <c r="D55" s="216"/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13</v>
      </c>
      <c r="Q55" s="51"/>
      <c r="R55" s="115"/>
      <c r="S55" s="111"/>
      <c r="T55" s="111"/>
      <c r="U55" s="111"/>
      <c r="V55" s="51"/>
      <c r="W55" s="51"/>
    </row>
    <row r="56" spans="1:25" ht="18.75" customHeight="1" x14ac:dyDescent="0.2">
      <c r="A56" s="217" t="s">
        <v>151</v>
      </c>
      <c r="B56" s="217" t="s">
        <v>207</v>
      </c>
      <c r="C56" s="216" t="s">
        <v>102</v>
      </c>
      <c r="D56" s="216"/>
      <c r="E56" s="96">
        <f>SUM(E57:E64)</f>
        <v>6408049.319790001</v>
      </c>
      <c r="F56" s="96">
        <f>SUM(F57:F64)</f>
        <v>5846080.5632199999</v>
      </c>
      <c r="G56" s="96">
        <f>SUM(G57:G64)</f>
        <v>5812168.1000000006</v>
      </c>
      <c r="H56" s="96">
        <f>SUM(H57:H64)</f>
        <v>6533613</v>
      </c>
      <c r="I56" s="96">
        <f>SUM(I57:I63)</f>
        <v>12150</v>
      </c>
      <c r="J56" s="96">
        <f t="shared" ref="J56:K56" si="10">SUM(J57:J63)</f>
        <v>0</v>
      </c>
      <c r="K56" s="96">
        <f t="shared" si="10"/>
        <v>0</v>
      </c>
      <c r="L56" s="1" t="s">
        <v>13</v>
      </c>
      <c r="M56" s="1" t="s">
        <v>13</v>
      </c>
      <c r="N56" s="1" t="s">
        <v>13</v>
      </c>
      <c r="O56" s="1" t="s">
        <v>13</v>
      </c>
      <c r="P56" s="1" t="s">
        <v>13</v>
      </c>
      <c r="Q56" s="51"/>
      <c r="R56" s="115"/>
      <c r="S56" s="111"/>
      <c r="T56" s="111"/>
      <c r="U56" s="111"/>
      <c r="V56" s="51"/>
      <c r="W56" s="51"/>
    </row>
    <row r="57" spans="1:25" ht="42" customHeight="1" x14ac:dyDescent="0.2">
      <c r="A57" s="218"/>
      <c r="B57" s="218"/>
      <c r="C57" s="216" t="s">
        <v>96</v>
      </c>
      <c r="D57" s="143" t="s">
        <v>124</v>
      </c>
      <c r="E57" s="96">
        <v>0</v>
      </c>
      <c r="F57" s="96">
        <v>0</v>
      </c>
      <c r="G57" s="96">
        <v>0</v>
      </c>
      <c r="H57" s="96">
        <v>0</v>
      </c>
      <c r="I57" s="96">
        <f>'[2]Приложение 4'!L44+380</f>
        <v>12150</v>
      </c>
      <c r="J57" s="96">
        <f>'[2]Приложение 4'!M44</f>
        <v>0</v>
      </c>
      <c r="K57" s="96">
        <f>'[2]Приложение 4'!N44</f>
        <v>0</v>
      </c>
      <c r="L57" s="1" t="s">
        <v>13</v>
      </c>
      <c r="M57" s="1" t="s">
        <v>13</v>
      </c>
      <c r="N57" s="1" t="s">
        <v>13</v>
      </c>
      <c r="O57" s="1" t="s">
        <v>13</v>
      </c>
      <c r="P57" s="1" t="s">
        <v>13</v>
      </c>
      <c r="Q57" s="51"/>
      <c r="R57" s="115"/>
      <c r="S57" s="111"/>
      <c r="T57" s="111"/>
      <c r="U57" s="111"/>
      <c r="V57" s="51"/>
      <c r="W57" s="51"/>
    </row>
    <row r="58" spans="1:25" ht="39" customHeight="1" x14ac:dyDescent="0.2">
      <c r="A58" s="218"/>
      <c r="B58" s="218"/>
      <c r="C58" s="216"/>
      <c r="D58" s="143" t="s">
        <v>125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13</v>
      </c>
      <c r="Q58" s="51"/>
      <c r="R58" s="115"/>
      <c r="S58" s="111"/>
      <c r="T58" s="111"/>
      <c r="U58" s="111"/>
      <c r="V58" s="51"/>
      <c r="W58" s="51"/>
    </row>
    <row r="59" spans="1:25" ht="54.75" customHeight="1" x14ac:dyDescent="0.2">
      <c r="A59" s="218"/>
      <c r="B59" s="218"/>
      <c r="C59" s="216"/>
      <c r="D59" s="143" t="s">
        <v>127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1" t="s">
        <v>13</v>
      </c>
      <c r="M59" s="1" t="s">
        <v>13</v>
      </c>
      <c r="N59" s="1" t="s">
        <v>13</v>
      </c>
      <c r="O59" s="1" t="s">
        <v>13</v>
      </c>
      <c r="P59" s="1" t="s">
        <v>13</v>
      </c>
      <c r="Q59" s="51"/>
      <c r="R59" s="115"/>
      <c r="S59" s="111"/>
      <c r="T59" s="111"/>
      <c r="U59" s="111"/>
      <c r="V59" s="51"/>
      <c r="W59" s="51"/>
    </row>
    <row r="60" spans="1:25" ht="18.75" customHeight="1" x14ac:dyDescent="0.2">
      <c r="A60" s="218"/>
      <c r="B60" s="218"/>
      <c r="C60" s="216" t="s">
        <v>103</v>
      </c>
      <c r="D60" s="216"/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1" t="s">
        <v>13</v>
      </c>
      <c r="M60" s="1" t="s">
        <v>13</v>
      </c>
      <c r="N60" s="1" t="s">
        <v>13</v>
      </c>
      <c r="O60" s="1" t="s">
        <v>13</v>
      </c>
      <c r="P60" s="1" t="s">
        <v>13</v>
      </c>
      <c r="Q60" s="51"/>
      <c r="R60" s="115"/>
      <c r="S60" s="111"/>
      <c r="T60" s="111"/>
      <c r="U60" s="111"/>
      <c r="V60" s="51"/>
      <c r="W60" s="51"/>
    </row>
    <row r="61" spans="1:25" ht="26.25" customHeight="1" x14ac:dyDescent="0.2">
      <c r="A61" s="218"/>
      <c r="B61" s="218"/>
      <c r="C61" s="216" t="s">
        <v>99</v>
      </c>
      <c r="D61" s="216"/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1" t="s">
        <v>13</v>
      </c>
      <c r="M61" s="1" t="s">
        <v>13</v>
      </c>
      <c r="N61" s="1" t="s">
        <v>13</v>
      </c>
      <c r="O61" s="1" t="s">
        <v>13</v>
      </c>
      <c r="P61" s="1" t="s">
        <v>13</v>
      </c>
      <c r="Q61" s="51"/>
      <c r="R61" s="115"/>
      <c r="S61" s="111"/>
      <c r="T61" s="111"/>
      <c r="U61" s="111"/>
      <c r="V61" s="51"/>
      <c r="W61" s="51"/>
    </row>
    <row r="62" spans="1:25" ht="19.5" customHeight="1" x14ac:dyDescent="0.2">
      <c r="A62" s="218"/>
      <c r="B62" s="218"/>
      <c r="C62" s="216" t="s">
        <v>104</v>
      </c>
      <c r="D62" s="216"/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1" t="s">
        <v>13</v>
      </c>
      <c r="M62" s="1" t="s">
        <v>13</v>
      </c>
      <c r="N62" s="1" t="s">
        <v>13</v>
      </c>
      <c r="O62" s="1" t="s">
        <v>13</v>
      </c>
      <c r="P62" s="1" t="s">
        <v>13</v>
      </c>
      <c r="Q62" s="51"/>
      <c r="R62" s="115"/>
      <c r="S62" s="111"/>
      <c r="T62" s="111"/>
      <c r="U62" s="111"/>
      <c r="V62" s="51"/>
      <c r="W62" s="51"/>
    </row>
    <row r="63" spans="1:25" ht="18.75" customHeight="1" x14ac:dyDescent="0.2">
      <c r="A63" s="221"/>
      <c r="B63" s="221"/>
      <c r="C63" s="216" t="s">
        <v>105</v>
      </c>
      <c r="D63" s="21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1" t="s">
        <v>13</v>
      </c>
      <c r="M63" s="1" t="s">
        <v>13</v>
      </c>
      <c r="N63" s="1" t="s">
        <v>13</v>
      </c>
      <c r="O63" s="1" t="s">
        <v>13</v>
      </c>
      <c r="P63" s="1" t="s">
        <v>13</v>
      </c>
      <c r="Q63" s="51"/>
      <c r="R63" s="115"/>
      <c r="S63" s="111"/>
      <c r="T63" s="111"/>
      <c r="U63" s="111"/>
      <c r="V63" s="51"/>
      <c r="W63" s="51"/>
    </row>
    <row r="64" spans="1:25" x14ac:dyDescent="0.2">
      <c r="A64" s="219" t="s">
        <v>36</v>
      </c>
      <c r="B64" s="219" t="s">
        <v>153</v>
      </c>
      <c r="C64" s="216" t="s">
        <v>102</v>
      </c>
      <c r="D64" s="216"/>
      <c r="E64" s="96">
        <f t="shared" ref="E64:H71" si="11">E72+E80+E88+E96+E104</f>
        <v>6408049.319790001</v>
      </c>
      <c r="F64" s="96">
        <f t="shared" si="11"/>
        <v>5846080.5632199999</v>
      </c>
      <c r="G64" s="96">
        <f t="shared" si="11"/>
        <v>5812168.1000000006</v>
      </c>
      <c r="H64" s="96">
        <f t="shared" si="11"/>
        <v>6533613</v>
      </c>
      <c r="I64" s="96">
        <f>SUM(I65:I71)</f>
        <v>7123669.9000000004</v>
      </c>
      <c r="J64" s="96">
        <f t="shared" ref="J64:K64" si="12">SUM(J65:J71)</f>
        <v>6884954.7000000011</v>
      </c>
      <c r="K64" s="96">
        <f t="shared" si="12"/>
        <v>6481766.4999999991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54"/>
      <c r="R64" s="54"/>
      <c r="S64" s="54"/>
      <c r="T64" s="54"/>
      <c r="U64" s="113"/>
      <c r="V64" s="54"/>
      <c r="W64" s="54"/>
      <c r="X64" s="54"/>
      <c r="Y64" s="54"/>
    </row>
    <row r="65" spans="1:23" ht="39" customHeight="1" x14ac:dyDescent="0.2">
      <c r="A65" s="219"/>
      <c r="B65" s="219"/>
      <c r="C65" s="216" t="s">
        <v>96</v>
      </c>
      <c r="D65" s="89" t="s">
        <v>124</v>
      </c>
      <c r="E65" s="96">
        <f t="shared" si="11"/>
        <v>5917696.1997900009</v>
      </c>
      <c r="F65" s="96">
        <f t="shared" si="11"/>
        <v>5581656.7999999998</v>
      </c>
      <c r="G65" s="96">
        <f t="shared" si="11"/>
        <v>5812168.1000000006</v>
      </c>
      <c r="H65" s="96">
        <f t="shared" si="11"/>
        <v>6200818.7000000002</v>
      </c>
      <c r="I65" s="96">
        <f>I73+I81+I89+I97+I105+I113</f>
        <v>6857326.7000000002</v>
      </c>
      <c r="J65" s="96">
        <f t="shared" ref="J65:K65" si="13">J73+J81+J89+J97+J105+J113</f>
        <v>5697950.8000000007</v>
      </c>
      <c r="K65" s="96">
        <f t="shared" si="13"/>
        <v>5372792.7999999989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54"/>
      <c r="R65" s="112"/>
      <c r="S65" s="112"/>
      <c r="T65" s="112"/>
      <c r="U65" s="113"/>
      <c r="V65" s="54"/>
      <c r="W65" s="51"/>
    </row>
    <row r="66" spans="1:23" ht="38.25" customHeight="1" x14ac:dyDescent="0.2">
      <c r="A66" s="219"/>
      <c r="B66" s="219"/>
      <c r="C66" s="216"/>
      <c r="D66" s="89" t="s">
        <v>125</v>
      </c>
      <c r="E66" s="96">
        <f t="shared" si="11"/>
        <v>490353.12</v>
      </c>
      <c r="F66" s="96">
        <f t="shared" si="11"/>
        <v>264423.76321999996</v>
      </c>
      <c r="G66" s="96">
        <f t="shared" si="11"/>
        <v>0</v>
      </c>
      <c r="H66" s="96">
        <f t="shared" si="11"/>
        <v>332794.3</v>
      </c>
      <c r="I66" s="96">
        <f t="shared" ref="I66:K71" si="14">I74+I82+I90+I98+I106+I114</f>
        <v>266343.2</v>
      </c>
      <c r="J66" s="96">
        <f t="shared" si="14"/>
        <v>1187003.8999999999</v>
      </c>
      <c r="K66" s="96">
        <f t="shared" si="14"/>
        <v>1108973.7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54"/>
      <c r="R66" s="112"/>
      <c r="S66" s="112"/>
      <c r="T66" s="116"/>
      <c r="U66" s="113"/>
      <c r="V66" s="54"/>
      <c r="W66" s="51"/>
    </row>
    <row r="67" spans="1:23" ht="54" customHeight="1" x14ac:dyDescent="0.2">
      <c r="A67" s="219"/>
      <c r="B67" s="219"/>
      <c r="C67" s="216"/>
      <c r="D67" s="89" t="s">
        <v>126</v>
      </c>
      <c r="E67" s="96">
        <f t="shared" si="11"/>
        <v>0</v>
      </c>
      <c r="F67" s="96">
        <f t="shared" si="11"/>
        <v>0</v>
      </c>
      <c r="G67" s="96">
        <f t="shared" si="11"/>
        <v>0</v>
      </c>
      <c r="H67" s="96">
        <f t="shared" si="11"/>
        <v>0</v>
      </c>
      <c r="I67" s="96">
        <f t="shared" si="14"/>
        <v>0</v>
      </c>
      <c r="J67" s="96">
        <f t="shared" si="14"/>
        <v>0</v>
      </c>
      <c r="K67" s="96">
        <f t="shared" si="14"/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51"/>
      <c r="R67" s="112"/>
      <c r="S67" s="112"/>
      <c r="T67" s="112"/>
      <c r="U67" s="111"/>
      <c r="V67" s="51"/>
      <c r="W67" s="51"/>
    </row>
    <row r="68" spans="1:23" ht="17.25" customHeight="1" x14ac:dyDescent="0.2">
      <c r="A68" s="219"/>
      <c r="B68" s="219"/>
      <c r="C68" s="216" t="s">
        <v>103</v>
      </c>
      <c r="D68" s="216"/>
      <c r="E68" s="96">
        <f t="shared" si="11"/>
        <v>0</v>
      </c>
      <c r="F68" s="96">
        <f t="shared" si="11"/>
        <v>0</v>
      </c>
      <c r="G68" s="96">
        <f t="shared" si="11"/>
        <v>0</v>
      </c>
      <c r="H68" s="96">
        <f t="shared" si="11"/>
        <v>0</v>
      </c>
      <c r="I68" s="96">
        <f t="shared" si="14"/>
        <v>0</v>
      </c>
      <c r="J68" s="96">
        <f t="shared" si="14"/>
        <v>0</v>
      </c>
      <c r="K68" s="96">
        <f t="shared" si="14"/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51"/>
      <c r="R68" s="112"/>
      <c r="S68" s="112"/>
      <c r="T68" s="112"/>
      <c r="U68" s="111"/>
      <c r="V68" s="51"/>
      <c r="W68" s="51"/>
    </row>
    <row r="69" spans="1:23" ht="26.25" customHeight="1" x14ac:dyDescent="0.2">
      <c r="A69" s="219"/>
      <c r="B69" s="219"/>
      <c r="C69" s="216" t="s">
        <v>99</v>
      </c>
      <c r="D69" s="216"/>
      <c r="E69" s="96">
        <f t="shared" si="11"/>
        <v>0</v>
      </c>
      <c r="F69" s="96">
        <f t="shared" si="11"/>
        <v>0</v>
      </c>
      <c r="G69" s="96">
        <f t="shared" si="11"/>
        <v>0</v>
      </c>
      <c r="H69" s="96">
        <f t="shared" si="11"/>
        <v>0</v>
      </c>
      <c r="I69" s="96">
        <f t="shared" si="14"/>
        <v>0</v>
      </c>
      <c r="J69" s="96">
        <f t="shared" si="14"/>
        <v>0</v>
      </c>
      <c r="K69" s="96">
        <f t="shared" si="14"/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51"/>
      <c r="R69" s="112"/>
      <c r="S69" s="112"/>
      <c r="T69" s="112"/>
      <c r="U69" s="111"/>
      <c r="V69" s="51"/>
      <c r="W69" s="51"/>
    </row>
    <row r="70" spans="1:23" ht="27" customHeight="1" x14ac:dyDescent="0.2">
      <c r="A70" s="219"/>
      <c r="B70" s="219"/>
      <c r="C70" s="216" t="s">
        <v>104</v>
      </c>
      <c r="D70" s="216"/>
      <c r="E70" s="96">
        <f t="shared" si="11"/>
        <v>0</v>
      </c>
      <c r="F70" s="96">
        <f t="shared" si="11"/>
        <v>0</v>
      </c>
      <c r="G70" s="96">
        <f t="shared" si="11"/>
        <v>0</v>
      </c>
      <c r="H70" s="96">
        <f t="shared" si="11"/>
        <v>0</v>
      </c>
      <c r="I70" s="96">
        <f t="shared" si="14"/>
        <v>0</v>
      </c>
      <c r="J70" s="96">
        <f t="shared" si="14"/>
        <v>0</v>
      </c>
      <c r="K70" s="96">
        <f t="shared" si="14"/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51"/>
      <c r="R70" s="112"/>
      <c r="S70" s="112"/>
      <c r="T70" s="112"/>
      <c r="U70" s="111"/>
      <c r="V70" s="51"/>
      <c r="W70" s="51"/>
    </row>
    <row r="71" spans="1:23" ht="15.75" x14ac:dyDescent="0.2">
      <c r="A71" s="219"/>
      <c r="B71" s="219"/>
      <c r="C71" s="216" t="s">
        <v>105</v>
      </c>
      <c r="D71" s="216"/>
      <c r="E71" s="96">
        <f t="shared" si="11"/>
        <v>0</v>
      </c>
      <c r="F71" s="96">
        <f t="shared" si="11"/>
        <v>0</v>
      </c>
      <c r="G71" s="96">
        <f t="shared" si="11"/>
        <v>0</v>
      </c>
      <c r="H71" s="96">
        <f t="shared" si="11"/>
        <v>0</v>
      </c>
      <c r="I71" s="96">
        <f t="shared" si="14"/>
        <v>0</v>
      </c>
      <c r="J71" s="96">
        <f t="shared" si="14"/>
        <v>0</v>
      </c>
      <c r="K71" s="96">
        <f t="shared" si="14"/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51"/>
      <c r="R71" s="116"/>
      <c r="S71" s="116"/>
      <c r="T71" s="116"/>
      <c r="U71" s="111"/>
      <c r="V71" s="51"/>
      <c r="W71" s="51"/>
    </row>
    <row r="72" spans="1:23" ht="15.75" x14ac:dyDescent="0.2">
      <c r="A72" s="217" t="s">
        <v>175</v>
      </c>
      <c r="B72" s="217" t="s">
        <v>208</v>
      </c>
      <c r="C72" s="216" t="s">
        <v>102</v>
      </c>
      <c r="D72" s="216"/>
      <c r="E72" s="96">
        <v>5905121.2318600006</v>
      </c>
      <c r="F72" s="96">
        <v>5584652.5999999996</v>
      </c>
      <c r="G72" s="96">
        <v>5707984.2000000002</v>
      </c>
      <c r="H72" s="96">
        <f>6024620.1-H80</f>
        <v>6023708.3999999994</v>
      </c>
      <c r="I72" s="96">
        <f>SUM(I73:I79)</f>
        <v>6792984.2000000002</v>
      </c>
      <c r="J72" s="96">
        <f t="shared" ref="J72:K72" si="15">SUM(J73:J79)</f>
        <v>5559332.7000000002</v>
      </c>
      <c r="K72" s="96">
        <f t="shared" si="15"/>
        <v>5256141.6999999993</v>
      </c>
      <c r="L72" s="1" t="s">
        <v>13</v>
      </c>
      <c r="M72" s="1" t="s">
        <v>13</v>
      </c>
      <c r="N72" s="1" t="s">
        <v>13</v>
      </c>
      <c r="O72" s="1" t="s">
        <v>13</v>
      </c>
      <c r="P72" s="1" t="s">
        <v>13</v>
      </c>
      <c r="Q72" s="54"/>
      <c r="R72" s="116"/>
      <c r="S72" s="116"/>
      <c r="T72" s="116"/>
      <c r="U72" s="113"/>
      <c r="V72" s="54"/>
      <c r="W72" s="54"/>
    </row>
    <row r="73" spans="1:23" ht="38.25" x14ac:dyDescent="0.2">
      <c r="A73" s="218"/>
      <c r="B73" s="218"/>
      <c r="C73" s="216" t="s">
        <v>96</v>
      </c>
      <c r="D73" s="89" t="s">
        <v>124</v>
      </c>
      <c r="E73" s="96">
        <v>5809109.7318600006</v>
      </c>
      <c r="F73" s="96">
        <v>5511714.7999999998</v>
      </c>
      <c r="G73" s="96">
        <v>5707984.2000000002</v>
      </c>
      <c r="H73" s="96">
        <f>6023982-H81</f>
        <v>6023708.4000000004</v>
      </c>
      <c r="I73" s="96">
        <f>'[2]Приложение 4'!L49</f>
        <v>6792984.2000000002</v>
      </c>
      <c r="J73" s="96">
        <f>'[2]Приложение 4'!M49</f>
        <v>5559332.7000000002</v>
      </c>
      <c r="K73" s="96">
        <f>'[2]Приложение 4'!N49</f>
        <v>5256141.6999999993</v>
      </c>
      <c r="L73" s="1" t="s">
        <v>13</v>
      </c>
      <c r="M73" s="1" t="s">
        <v>13</v>
      </c>
      <c r="N73" s="1" t="s">
        <v>13</v>
      </c>
      <c r="O73" s="1" t="s">
        <v>13</v>
      </c>
      <c r="P73" s="1" t="s">
        <v>13</v>
      </c>
      <c r="Q73" s="54"/>
      <c r="R73" s="116"/>
      <c r="S73" s="116"/>
      <c r="T73" s="116"/>
      <c r="U73" s="113"/>
      <c r="V73" s="54"/>
      <c r="W73" s="51"/>
    </row>
    <row r="74" spans="1:23" ht="38.25" x14ac:dyDescent="0.2">
      <c r="A74" s="218"/>
      <c r="B74" s="218"/>
      <c r="C74" s="216"/>
      <c r="D74" s="89" t="s">
        <v>125</v>
      </c>
      <c r="E74" s="96">
        <v>96011.5</v>
      </c>
      <c r="F74" s="96">
        <v>72937.8</v>
      </c>
      <c r="G74" s="96">
        <v>0</v>
      </c>
      <c r="H74" s="96">
        <f>638.1-H82</f>
        <v>0</v>
      </c>
      <c r="I74" s="96">
        <v>0</v>
      </c>
      <c r="J74" s="96">
        <v>0</v>
      </c>
      <c r="K74" s="96">
        <v>0</v>
      </c>
      <c r="L74" s="1" t="s">
        <v>13</v>
      </c>
      <c r="M74" s="1" t="s">
        <v>13</v>
      </c>
      <c r="N74" s="1" t="s">
        <v>13</v>
      </c>
      <c r="O74" s="1" t="s">
        <v>13</v>
      </c>
      <c r="P74" s="1" t="s">
        <v>13</v>
      </c>
      <c r="Q74" s="51"/>
      <c r="R74" s="116"/>
      <c r="S74" s="116"/>
      <c r="T74" s="116"/>
      <c r="U74" s="111"/>
      <c r="V74" s="51"/>
      <c r="W74" s="51"/>
    </row>
    <row r="75" spans="1:23" ht="51" x14ac:dyDescent="0.2">
      <c r="A75" s="218"/>
      <c r="B75" s="218"/>
      <c r="C75" s="216"/>
      <c r="D75" s="89" t="s">
        <v>126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1" t="s">
        <v>13</v>
      </c>
      <c r="M75" s="1" t="s">
        <v>13</v>
      </c>
      <c r="N75" s="1" t="s">
        <v>13</v>
      </c>
      <c r="O75" s="1" t="s">
        <v>13</v>
      </c>
      <c r="P75" s="1" t="s">
        <v>13</v>
      </c>
      <c r="Q75" s="51"/>
      <c r="R75" s="116"/>
      <c r="S75" s="116"/>
      <c r="T75" s="116"/>
      <c r="U75" s="111"/>
      <c r="V75" s="51"/>
      <c r="W75" s="51"/>
    </row>
    <row r="76" spans="1:23" ht="15.75" customHeight="1" x14ac:dyDescent="0.2">
      <c r="A76" s="218"/>
      <c r="B76" s="218"/>
      <c r="C76" s="216" t="s">
        <v>103</v>
      </c>
      <c r="D76" s="216"/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1" t="s">
        <v>13</v>
      </c>
      <c r="M76" s="1" t="s">
        <v>13</v>
      </c>
      <c r="N76" s="1" t="s">
        <v>13</v>
      </c>
      <c r="O76" s="1" t="s">
        <v>13</v>
      </c>
      <c r="P76" s="1" t="s">
        <v>13</v>
      </c>
      <c r="Q76" s="51"/>
      <c r="R76" s="112"/>
      <c r="S76" s="112"/>
      <c r="T76" s="112"/>
      <c r="U76" s="111"/>
      <c r="V76" s="51"/>
      <c r="W76" s="51"/>
    </row>
    <row r="77" spans="1:23" ht="27" customHeight="1" x14ac:dyDescent="0.2">
      <c r="A77" s="218"/>
      <c r="B77" s="218"/>
      <c r="C77" s="216" t="s">
        <v>99</v>
      </c>
      <c r="D77" s="216"/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1" t="s">
        <v>13</v>
      </c>
      <c r="M77" s="1" t="s">
        <v>13</v>
      </c>
      <c r="N77" s="1" t="s">
        <v>13</v>
      </c>
      <c r="O77" s="1" t="s">
        <v>13</v>
      </c>
      <c r="P77" s="1" t="s">
        <v>13</v>
      </c>
      <c r="Q77" s="51"/>
      <c r="R77" s="114"/>
      <c r="S77" s="114"/>
      <c r="T77" s="114"/>
      <c r="U77" s="111"/>
      <c r="V77" s="51"/>
      <c r="W77" s="51"/>
    </row>
    <row r="78" spans="1:23" ht="15.75" customHeight="1" x14ac:dyDescent="0.2">
      <c r="A78" s="218"/>
      <c r="B78" s="218"/>
      <c r="C78" s="216" t="s">
        <v>104</v>
      </c>
      <c r="D78" s="216"/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1" t="s">
        <v>13</v>
      </c>
      <c r="M78" s="1" t="s">
        <v>13</v>
      </c>
      <c r="N78" s="1" t="s">
        <v>13</v>
      </c>
      <c r="O78" s="1" t="s">
        <v>13</v>
      </c>
      <c r="P78" s="1" t="s">
        <v>13</v>
      </c>
      <c r="Q78" s="51"/>
      <c r="R78" s="115"/>
      <c r="S78" s="111"/>
      <c r="T78" s="111"/>
      <c r="U78" s="111"/>
      <c r="V78" s="51"/>
      <c r="W78" s="51"/>
    </row>
    <row r="79" spans="1:23" ht="15.75" customHeight="1" x14ac:dyDescent="0.2">
      <c r="A79" s="218"/>
      <c r="B79" s="218"/>
      <c r="C79" s="216" t="s">
        <v>105</v>
      </c>
      <c r="D79" s="216"/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1" t="s">
        <v>13</v>
      </c>
      <c r="M79" s="1" t="s">
        <v>13</v>
      </c>
      <c r="N79" s="1" t="s">
        <v>13</v>
      </c>
      <c r="O79" s="1" t="s">
        <v>13</v>
      </c>
      <c r="P79" s="1" t="s">
        <v>13</v>
      </c>
      <c r="Q79" s="51"/>
      <c r="R79" s="115"/>
      <c r="S79" s="111"/>
      <c r="T79" s="111"/>
      <c r="U79" s="111"/>
      <c r="V79" s="51"/>
      <c r="W79" s="51"/>
    </row>
    <row r="80" spans="1:23" ht="12.75" customHeight="1" x14ac:dyDescent="0.2">
      <c r="A80" s="217" t="s">
        <v>176</v>
      </c>
      <c r="B80" s="159" t="s">
        <v>209</v>
      </c>
      <c r="C80" s="216" t="s">
        <v>102</v>
      </c>
      <c r="D80" s="216"/>
      <c r="E80" s="96">
        <v>0</v>
      </c>
      <c r="F80" s="96">
        <v>0</v>
      </c>
      <c r="G80" s="96">
        <v>0</v>
      </c>
      <c r="H80" s="96">
        <v>911.7</v>
      </c>
      <c r="I80" s="96">
        <f>SUM(I81:I87)</f>
        <v>1111.6000000000001</v>
      </c>
      <c r="J80" s="96">
        <v>0</v>
      </c>
      <c r="K80" s="96">
        <v>0</v>
      </c>
      <c r="L80" s="1" t="s">
        <v>13</v>
      </c>
      <c r="M80" s="1" t="s">
        <v>13</v>
      </c>
      <c r="N80" s="1" t="s">
        <v>13</v>
      </c>
      <c r="O80" s="1" t="s">
        <v>13</v>
      </c>
      <c r="P80" s="1" t="s">
        <v>13</v>
      </c>
      <c r="Q80" s="51"/>
      <c r="R80" s="115"/>
      <c r="S80" s="111"/>
      <c r="T80" s="111"/>
      <c r="U80" s="111"/>
      <c r="V80" s="51"/>
      <c r="W80" s="51"/>
    </row>
    <row r="81" spans="1:24" ht="42" customHeight="1" x14ac:dyDescent="0.2">
      <c r="A81" s="218"/>
      <c r="B81" s="159"/>
      <c r="C81" s="216" t="s">
        <v>96</v>
      </c>
      <c r="D81" s="89" t="s">
        <v>124</v>
      </c>
      <c r="E81" s="96">
        <v>0</v>
      </c>
      <c r="F81" s="96">
        <v>0</v>
      </c>
      <c r="G81" s="96">
        <v>0</v>
      </c>
      <c r="H81" s="96">
        <v>273.60000000000002</v>
      </c>
      <c r="I81" s="96">
        <v>66.7</v>
      </c>
      <c r="J81" s="96">
        <v>0</v>
      </c>
      <c r="K81" s="96">
        <v>0</v>
      </c>
      <c r="L81" s="1" t="s">
        <v>13</v>
      </c>
      <c r="M81" s="1" t="s">
        <v>13</v>
      </c>
      <c r="N81" s="1" t="s">
        <v>13</v>
      </c>
      <c r="O81" s="1" t="s">
        <v>13</v>
      </c>
      <c r="P81" s="1" t="s">
        <v>13</v>
      </c>
      <c r="Q81" s="51"/>
      <c r="R81" s="115"/>
      <c r="S81" s="111"/>
      <c r="T81" s="111"/>
      <c r="U81" s="111"/>
      <c r="V81" s="51"/>
      <c r="W81" s="51"/>
    </row>
    <row r="82" spans="1:24" ht="39.75" customHeight="1" x14ac:dyDescent="0.2">
      <c r="A82" s="218"/>
      <c r="B82" s="159"/>
      <c r="C82" s="216"/>
      <c r="D82" s="89" t="s">
        <v>125</v>
      </c>
      <c r="E82" s="96">
        <v>0</v>
      </c>
      <c r="F82" s="96">
        <v>0</v>
      </c>
      <c r="G82" s="96">
        <v>0</v>
      </c>
      <c r="H82" s="96">
        <v>638.1</v>
      </c>
      <c r="I82" s="96">
        <v>1044.9000000000001</v>
      </c>
      <c r="J82" s="96">
        <v>0</v>
      </c>
      <c r="K82" s="96">
        <v>0</v>
      </c>
      <c r="L82" s="1" t="s">
        <v>13</v>
      </c>
      <c r="M82" s="1" t="s">
        <v>13</v>
      </c>
      <c r="N82" s="1" t="s">
        <v>13</v>
      </c>
      <c r="O82" s="1" t="s">
        <v>13</v>
      </c>
      <c r="P82" s="1" t="s">
        <v>13</v>
      </c>
      <c r="Q82" s="51"/>
      <c r="R82" s="53"/>
      <c r="S82" s="51"/>
      <c r="T82" s="51"/>
      <c r="U82" s="51"/>
      <c r="V82" s="51"/>
      <c r="W82" s="51"/>
    </row>
    <row r="83" spans="1:24" ht="54" customHeight="1" x14ac:dyDescent="0.2">
      <c r="A83" s="218"/>
      <c r="B83" s="159"/>
      <c r="C83" s="216"/>
      <c r="D83" s="89" t="s">
        <v>126</v>
      </c>
      <c r="E83" s="96">
        <v>0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1" t="s">
        <v>13</v>
      </c>
      <c r="M83" s="1" t="s">
        <v>13</v>
      </c>
      <c r="N83" s="1" t="s">
        <v>13</v>
      </c>
      <c r="O83" s="1" t="s">
        <v>13</v>
      </c>
      <c r="P83" s="1" t="s">
        <v>13</v>
      </c>
      <c r="Q83" s="51"/>
      <c r="R83" s="53"/>
      <c r="S83" s="51"/>
      <c r="T83" s="51"/>
      <c r="U83" s="51"/>
      <c r="V83" s="51"/>
      <c r="W83" s="51"/>
    </row>
    <row r="84" spans="1:24" ht="18" customHeight="1" x14ac:dyDescent="0.2">
      <c r="A84" s="218"/>
      <c r="B84" s="159"/>
      <c r="C84" s="216" t="s">
        <v>103</v>
      </c>
      <c r="D84" s="216"/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1" t="s">
        <v>13</v>
      </c>
      <c r="M84" s="1" t="s">
        <v>13</v>
      </c>
      <c r="N84" s="1" t="s">
        <v>13</v>
      </c>
      <c r="O84" s="1" t="s">
        <v>13</v>
      </c>
      <c r="P84" s="1" t="s">
        <v>13</v>
      </c>
      <c r="Q84" s="51"/>
      <c r="R84" s="53"/>
      <c r="S84" s="51"/>
      <c r="T84" s="51"/>
      <c r="U84" s="51"/>
      <c r="V84" s="51"/>
      <c r="W84" s="51"/>
    </row>
    <row r="85" spans="1:24" ht="29.25" customHeight="1" x14ac:dyDescent="0.2">
      <c r="A85" s="218"/>
      <c r="B85" s="159"/>
      <c r="C85" s="216" t="s">
        <v>99</v>
      </c>
      <c r="D85" s="216"/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1" t="s">
        <v>13</v>
      </c>
      <c r="M85" s="1" t="s">
        <v>13</v>
      </c>
      <c r="N85" s="1" t="s">
        <v>13</v>
      </c>
      <c r="O85" s="1" t="s">
        <v>13</v>
      </c>
      <c r="P85" s="1" t="s">
        <v>13</v>
      </c>
      <c r="Q85" s="51"/>
      <c r="R85" s="53"/>
      <c r="S85" s="51"/>
      <c r="T85" s="51"/>
      <c r="U85" s="51"/>
      <c r="V85" s="51"/>
      <c r="W85" s="51"/>
    </row>
    <row r="86" spans="1:24" ht="27.75" customHeight="1" x14ac:dyDescent="0.2">
      <c r="A86" s="218"/>
      <c r="B86" s="159"/>
      <c r="C86" s="216" t="s">
        <v>104</v>
      </c>
      <c r="D86" s="216"/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1" t="s">
        <v>13</v>
      </c>
      <c r="M86" s="1" t="s">
        <v>13</v>
      </c>
      <c r="N86" s="1" t="s">
        <v>13</v>
      </c>
      <c r="O86" s="1" t="s">
        <v>13</v>
      </c>
      <c r="P86" s="1" t="s">
        <v>13</v>
      </c>
      <c r="Q86" s="51"/>
      <c r="R86" s="53"/>
      <c r="S86" s="51"/>
      <c r="T86" s="51"/>
      <c r="U86" s="51"/>
      <c r="V86" s="51"/>
      <c r="W86" s="51"/>
    </row>
    <row r="87" spans="1:24" ht="17.25" customHeight="1" x14ac:dyDescent="0.2">
      <c r="A87" s="218"/>
      <c r="B87" s="159"/>
      <c r="C87" s="216" t="s">
        <v>105</v>
      </c>
      <c r="D87" s="216"/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1" t="s">
        <v>13</v>
      </c>
      <c r="M87" s="1" t="s">
        <v>13</v>
      </c>
      <c r="N87" s="1" t="s">
        <v>13</v>
      </c>
      <c r="O87" s="1" t="s">
        <v>13</v>
      </c>
      <c r="P87" s="1" t="s">
        <v>13</v>
      </c>
      <c r="Q87" s="51"/>
      <c r="R87" s="53"/>
      <c r="S87" s="51"/>
      <c r="T87" s="51"/>
      <c r="U87" s="51"/>
      <c r="V87" s="51"/>
      <c r="W87" s="51"/>
    </row>
    <row r="88" spans="1:24" ht="18" customHeight="1" x14ac:dyDescent="0.2">
      <c r="A88" s="160" t="s">
        <v>177</v>
      </c>
      <c r="B88" s="217" t="s">
        <v>210</v>
      </c>
      <c r="C88" s="216" t="s">
        <v>102</v>
      </c>
      <c r="D88" s="216"/>
      <c r="E88" s="96">
        <v>502928.08792999998</v>
      </c>
      <c r="F88" s="96">
        <v>261427.96321999998</v>
      </c>
      <c r="G88" s="96">
        <v>104183.9</v>
      </c>
      <c r="H88" s="96">
        <f>508992.9-H96</f>
        <v>56936.900000000023</v>
      </c>
      <c r="I88" s="96">
        <f>I89+I90</f>
        <v>170981.8</v>
      </c>
      <c r="J88" s="96">
        <f>J89+J90</f>
        <v>296765.2</v>
      </c>
      <c r="K88" s="96">
        <f>K89+K90</f>
        <v>89100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51"/>
      <c r="R88" s="53"/>
      <c r="S88" s="51"/>
      <c r="T88" s="51"/>
      <c r="U88" s="51"/>
      <c r="V88" s="51"/>
      <c r="W88" s="51"/>
    </row>
    <row r="89" spans="1:24" ht="42.75" customHeight="1" x14ac:dyDescent="0.2">
      <c r="A89" s="163"/>
      <c r="B89" s="218"/>
      <c r="C89" s="216" t="s">
        <v>96</v>
      </c>
      <c r="D89" s="143" t="s">
        <v>124</v>
      </c>
      <c r="E89" s="96">
        <v>108586.46793</v>
      </c>
      <c r="F89" s="96">
        <v>69942</v>
      </c>
      <c r="G89" s="96">
        <v>104183.9</v>
      </c>
      <c r="H89" s="96">
        <f>176836.7-H97</f>
        <v>41836.700000000012</v>
      </c>
      <c r="I89" s="96">
        <f>35365.2+5900+12000+1495</f>
        <v>54760.2</v>
      </c>
      <c r="J89" s="96">
        <f>15700+35365.2</f>
        <v>51065.2</v>
      </c>
      <c r="K89" s="96">
        <v>5300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51"/>
      <c r="R89" s="53"/>
      <c r="S89" s="51"/>
      <c r="T89" s="51"/>
      <c r="U89" s="51"/>
      <c r="V89" s="51"/>
      <c r="W89" s="51"/>
    </row>
    <row r="90" spans="1:24" ht="40.5" customHeight="1" x14ac:dyDescent="0.2">
      <c r="A90" s="163"/>
      <c r="B90" s="218"/>
      <c r="C90" s="216"/>
      <c r="D90" s="143" t="s">
        <v>125</v>
      </c>
      <c r="E90" s="96">
        <v>394341.62</v>
      </c>
      <c r="F90" s="96">
        <v>191485.96321999998</v>
      </c>
      <c r="G90" s="96">
        <v>0</v>
      </c>
      <c r="H90" s="96">
        <f>332156.2-H98</f>
        <v>15100.200000000012</v>
      </c>
      <c r="I90" s="96">
        <f>23421.6+92800</f>
        <v>116221.6</v>
      </c>
      <c r="J90" s="96">
        <v>245700</v>
      </c>
      <c r="K90" s="96">
        <v>83800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51"/>
      <c r="R90" s="53"/>
      <c r="S90" s="51"/>
      <c r="T90" s="51"/>
      <c r="U90" s="51"/>
      <c r="V90" s="51"/>
      <c r="W90" s="51"/>
    </row>
    <row r="91" spans="1:24" ht="54" customHeight="1" x14ac:dyDescent="0.2">
      <c r="A91" s="163"/>
      <c r="B91" s="218"/>
      <c r="C91" s="216"/>
      <c r="D91" s="143" t="s">
        <v>126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51"/>
      <c r="R91" s="53"/>
      <c r="S91" s="51"/>
      <c r="T91" s="51"/>
      <c r="U91" s="51"/>
      <c r="V91" s="51"/>
      <c r="W91" s="51"/>
    </row>
    <row r="92" spans="1:24" ht="18" customHeight="1" x14ac:dyDescent="0.2">
      <c r="A92" s="163"/>
      <c r="B92" s="218"/>
      <c r="C92" s="216" t="s">
        <v>103</v>
      </c>
      <c r="D92" s="216"/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51"/>
      <c r="R92" s="53"/>
      <c r="S92" s="51"/>
      <c r="T92" s="51"/>
      <c r="U92" s="51"/>
      <c r="V92" s="51"/>
      <c r="W92" s="51"/>
    </row>
    <row r="93" spans="1:24" ht="27" customHeight="1" x14ac:dyDescent="0.2">
      <c r="A93" s="163"/>
      <c r="B93" s="218"/>
      <c r="C93" s="216" t="s">
        <v>99</v>
      </c>
      <c r="D93" s="216"/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51"/>
      <c r="R93" s="53"/>
      <c r="S93" s="51"/>
      <c r="T93" s="51"/>
      <c r="U93" s="51"/>
      <c r="V93" s="51"/>
      <c r="W93" s="51"/>
    </row>
    <row r="94" spans="1:24" ht="25.5" customHeight="1" x14ac:dyDescent="0.2">
      <c r="A94" s="163"/>
      <c r="B94" s="218"/>
      <c r="C94" s="216" t="s">
        <v>104</v>
      </c>
      <c r="D94" s="216"/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51"/>
      <c r="R94" s="53"/>
      <c r="S94" s="51"/>
      <c r="T94" s="51"/>
      <c r="U94" s="51"/>
      <c r="V94" s="51"/>
      <c r="W94" s="51"/>
    </row>
    <row r="95" spans="1:24" ht="18" customHeight="1" x14ac:dyDescent="0.2">
      <c r="A95" s="161"/>
      <c r="B95" s="221"/>
      <c r="C95" s="216" t="s">
        <v>105</v>
      </c>
      <c r="D95" s="216"/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51"/>
      <c r="R95" s="53"/>
      <c r="S95" s="51"/>
      <c r="T95" s="51"/>
      <c r="U95" s="51"/>
      <c r="V95" s="51"/>
      <c r="W95" s="51"/>
    </row>
    <row r="96" spans="1:24" ht="16.5" customHeight="1" x14ac:dyDescent="0.2">
      <c r="A96" s="217" t="s">
        <v>158</v>
      </c>
      <c r="B96" s="217" t="s">
        <v>211</v>
      </c>
      <c r="C96" s="216" t="s">
        <v>102</v>
      </c>
      <c r="D96" s="216"/>
      <c r="E96" s="96">
        <v>0</v>
      </c>
      <c r="F96" s="96">
        <v>0</v>
      </c>
      <c r="G96" s="96">
        <v>0</v>
      </c>
      <c r="H96" s="96">
        <v>452056</v>
      </c>
      <c r="I96" s="96">
        <v>0</v>
      </c>
      <c r="J96" s="96">
        <f>SUM(J97:J99)</f>
        <v>679958.8</v>
      </c>
      <c r="K96" s="96">
        <f>SUM(K97:K99)</f>
        <v>1136524.8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54"/>
      <c r="R96" s="54"/>
      <c r="S96" s="54"/>
      <c r="T96" s="54"/>
      <c r="U96" s="54"/>
      <c r="V96" s="54"/>
      <c r="W96" s="54"/>
      <c r="X96" s="54"/>
    </row>
    <row r="97" spans="1:23" ht="42" customHeight="1" x14ac:dyDescent="0.2">
      <c r="A97" s="218"/>
      <c r="B97" s="218"/>
      <c r="C97" s="216" t="s">
        <v>96</v>
      </c>
      <c r="D97" s="89" t="s">
        <v>124</v>
      </c>
      <c r="E97" s="96">
        <v>0</v>
      </c>
      <c r="F97" s="96">
        <v>0</v>
      </c>
      <c r="G97" s="96">
        <v>0</v>
      </c>
      <c r="H97" s="96">
        <v>135000</v>
      </c>
      <c r="I97" s="96">
        <v>0</v>
      </c>
      <c r="J97" s="96">
        <v>66619</v>
      </c>
      <c r="K97" s="96">
        <v>111351.1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51"/>
      <c r="R97" s="53"/>
      <c r="S97" s="51"/>
      <c r="T97" s="51"/>
      <c r="U97" s="51"/>
      <c r="V97" s="51"/>
      <c r="W97" s="51"/>
    </row>
    <row r="98" spans="1:23" ht="42" customHeight="1" x14ac:dyDescent="0.2">
      <c r="A98" s="218"/>
      <c r="B98" s="218"/>
      <c r="C98" s="216"/>
      <c r="D98" s="89" t="s">
        <v>125</v>
      </c>
      <c r="E98" s="96">
        <v>0</v>
      </c>
      <c r="F98" s="96">
        <v>0</v>
      </c>
      <c r="G98" s="96">
        <v>0</v>
      </c>
      <c r="H98" s="96">
        <v>317056</v>
      </c>
      <c r="I98" s="96">
        <v>0</v>
      </c>
      <c r="J98" s="96">
        <v>613339.80000000005</v>
      </c>
      <c r="K98" s="96">
        <v>1025173.7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51"/>
      <c r="R98" s="53"/>
      <c r="S98" s="51"/>
      <c r="T98" s="51"/>
      <c r="U98" s="51"/>
      <c r="V98" s="51"/>
      <c r="W98" s="51"/>
    </row>
    <row r="99" spans="1:23" ht="54.75" customHeight="1" x14ac:dyDescent="0.2">
      <c r="A99" s="218"/>
      <c r="B99" s="218"/>
      <c r="C99" s="216"/>
      <c r="D99" s="89" t="s">
        <v>126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51"/>
      <c r="R99" s="53"/>
      <c r="S99" s="51"/>
      <c r="T99" s="51"/>
      <c r="U99" s="51"/>
      <c r="V99" s="51"/>
      <c r="W99" s="51"/>
    </row>
    <row r="100" spans="1:23" ht="16.5" customHeight="1" x14ac:dyDescent="0.2">
      <c r="A100" s="218"/>
      <c r="B100" s="218"/>
      <c r="C100" s="216" t="s">
        <v>103</v>
      </c>
      <c r="D100" s="216"/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51"/>
      <c r="R100" s="53"/>
      <c r="S100" s="51"/>
      <c r="T100" s="51"/>
      <c r="U100" s="51"/>
      <c r="V100" s="51"/>
      <c r="W100" s="51"/>
    </row>
    <row r="101" spans="1:23" ht="29.25" customHeight="1" x14ac:dyDescent="0.2">
      <c r="A101" s="218"/>
      <c r="B101" s="218"/>
      <c r="C101" s="216" t="s">
        <v>99</v>
      </c>
      <c r="D101" s="216"/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51"/>
      <c r="R101" s="53"/>
      <c r="S101" s="51"/>
      <c r="T101" s="51"/>
      <c r="U101" s="51"/>
      <c r="V101" s="51"/>
      <c r="W101" s="51"/>
    </row>
    <row r="102" spans="1:23" ht="26.25" customHeight="1" x14ac:dyDescent="0.2">
      <c r="A102" s="218"/>
      <c r="B102" s="218"/>
      <c r="C102" s="216" t="s">
        <v>104</v>
      </c>
      <c r="D102" s="216"/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51"/>
      <c r="R102" s="53"/>
      <c r="S102" s="51"/>
      <c r="T102" s="51"/>
      <c r="U102" s="51"/>
      <c r="V102" s="51"/>
      <c r="W102" s="51"/>
    </row>
    <row r="103" spans="1:23" ht="17.25" customHeight="1" x14ac:dyDescent="0.2">
      <c r="A103" s="218"/>
      <c r="B103" s="218"/>
      <c r="C103" s="216" t="s">
        <v>105</v>
      </c>
      <c r="D103" s="216"/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51"/>
      <c r="R103" s="53"/>
      <c r="S103" s="51"/>
      <c r="T103" s="51"/>
      <c r="U103" s="51"/>
      <c r="V103" s="51"/>
      <c r="W103" s="51"/>
    </row>
    <row r="104" spans="1:23" ht="16.5" customHeight="1" x14ac:dyDescent="0.2">
      <c r="A104" s="160" t="s">
        <v>178</v>
      </c>
      <c r="B104" s="217" t="s">
        <v>179</v>
      </c>
      <c r="C104" s="216" t="s">
        <v>102</v>
      </c>
      <c r="D104" s="216"/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1" t="s">
        <v>13</v>
      </c>
      <c r="M104" s="1" t="s">
        <v>13</v>
      </c>
      <c r="N104" s="1" t="s">
        <v>13</v>
      </c>
      <c r="O104" s="1" t="s">
        <v>13</v>
      </c>
      <c r="P104" s="1" t="s">
        <v>13</v>
      </c>
      <c r="Q104" s="51"/>
      <c r="R104" s="53"/>
      <c r="S104" s="51"/>
      <c r="T104" s="51"/>
      <c r="U104" s="51"/>
      <c r="V104" s="51"/>
      <c r="W104" s="51"/>
    </row>
    <row r="105" spans="1:23" ht="41.25" customHeight="1" x14ac:dyDescent="0.2">
      <c r="A105" s="163"/>
      <c r="B105" s="218"/>
      <c r="C105" s="216" t="s">
        <v>96</v>
      </c>
      <c r="D105" s="89" t="s">
        <v>124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1" t="s">
        <v>13</v>
      </c>
      <c r="M105" s="1" t="s">
        <v>13</v>
      </c>
      <c r="N105" s="1" t="s">
        <v>13</v>
      </c>
      <c r="O105" s="1" t="s">
        <v>13</v>
      </c>
      <c r="P105" s="1" t="s">
        <v>13</v>
      </c>
      <c r="Q105" s="51"/>
      <c r="R105" s="53"/>
      <c r="S105" s="51"/>
      <c r="T105" s="51"/>
      <c r="U105" s="51"/>
      <c r="V105" s="51"/>
      <c r="W105" s="51"/>
    </row>
    <row r="106" spans="1:23" ht="42" customHeight="1" x14ac:dyDescent="0.2">
      <c r="A106" s="163"/>
      <c r="B106" s="218"/>
      <c r="C106" s="216"/>
      <c r="D106" s="89" t="s">
        <v>125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1" t="s">
        <v>13</v>
      </c>
      <c r="M106" s="1" t="s">
        <v>13</v>
      </c>
      <c r="N106" s="1" t="s">
        <v>13</v>
      </c>
      <c r="O106" s="1" t="s">
        <v>13</v>
      </c>
      <c r="P106" s="1" t="s">
        <v>13</v>
      </c>
      <c r="Q106" s="51"/>
      <c r="R106" s="53"/>
      <c r="S106" s="51"/>
      <c r="T106" s="51"/>
      <c r="U106" s="51"/>
      <c r="V106" s="51"/>
      <c r="W106" s="51"/>
    </row>
    <row r="107" spans="1:23" ht="53.25" customHeight="1" x14ac:dyDescent="0.2">
      <c r="A107" s="163"/>
      <c r="B107" s="218"/>
      <c r="C107" s="216"/>
      <c r="D107" s="89" t="s">
        <v>126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1" t="s">
        <v>13</v>
      </c>
      <c r="M107" s="1" t="s">
        <v>13</v>
      </c>
      <c r="N107" s="1" t="s">
        <v>13</v>
      </c>
      <c r="O107" s="1" t="s">
        <v>13</v>
      </c>
      <c r="P107" s="1" t="s">
        <v>13</v>
      </c>
      <c r="Q107" s="51"/>
      <c r="R107" s="53"/>
      <c r="S107" s="51"/>
      <c r="T107" s="51"/>
      <c r="U107" s="51"/>
      <c r="V107" s="51"/>
      <c r="W107" s="51"/>
    </row>
    <row r="108" spans="1:23" ht="16.5" customHeight="1" x14ac:dyDescent="0.2">
      <c r="A108" s="163"/>
      <c r="B108" s="218"/>
      <c r="C108" s="216" t="s">
        <v>103</v>
      </c>
      <c r="D108" s="216"/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1" t="s">
        <v>13</v>
      </c>
      <c r="M108" s="1" t="s">
        <v>13</v>
      </c>
      <c r="N108" s="1" t="s">
        <v>13</v>
      </c>
      <c r="O108" s="1" t="s">
        <v>13</v>
      </c>
      <c r="P108" s="1" t="s">
        <v>13</v>
      </c>
      <c r="Q108" s="51"/>
      <c r="R108" s="53"/>
      <c r="S108" s="51"/>
      <c r="T108" s="51"/>
      <c r="U108" s="51"/>
      <c r="V108" s="51"/>
      <c r="W108" s="51"/>
    </row>
    <row r="109" spans="1:23" ht="28.5" customHeight="1" x14ac:dyDescent="0.2">
      <c r="A109" s="163"/>
      <c r="B109" s="218"/>
      <c r="C109" s="216" t="s">
        <v>99</v>
      </c>
      <c r="D109" s="216"/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1" t="s">
        <v>13</v>
      </c>
      <c r="M109" s="1" t="s">
        <v>13</v>
      </c>
      <c r="N109" s="1" t="s">
        <v>13</v>
      </c>
      <c r="O109" s="1" t="s">
        <v>13</v>
      </c>
      <c r="P109" s="1" t="s">
        <v>13</v>
      </c>
      <c r="Q109" s="51"/>
      <c r="R109" s="53"/>
      <c r="S109" s="51"/>
      <c r="T109" s="51"/>
      <c r="U109" s="51"/>
      <c r="V109" s="51"/>
      <c r="W109" s="51"/>
    </row>
    <row r="110" spans="1:23" ht="27.75" customHeight="1" x14ac:dyDescent="0.2">
      <c r="A110" s="163"/>
      <c r="B110" s="218"/>
      <c r="C110" s="216" t="s">
        <v>104</v>
      </c>
      <c r="D110" s="216"/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1" t="s">
        <v>13</v>
      </c>
      <c r="M110" s="1" t="s">
        <v>13</v>
      </c>
      <c r="N110" s="1" t="s">
        <v>13</v>
      </c>
      <c r="O110" s="1" t="s">
        <v>13</v>
      </c>
      <c r="P110" s="1" t="s">
        <v>13</v>
      </c>
      <c r="Q110" s="51"/>
      <c r="R110" s="53"/>
      <c r="S110" s="51"/>
      <c r="T110" s="51"/>
      <c r="U110" s="51"/>
      <c r="V110" s="51"/>
      <c r="W110" s="51"/>
    </row>
    <row r="111" spans="1:23" ht="16.5" customHeight="1" x14ac:dyDescent="0.2">
      <c r="A111" s="163"/>
      <c r="B111" s="218"/>
      <c r="C111" s="216" t="s">
        <v>105</v>
      </c>
      <c r="D111" s="216"/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1" t="s">
        <v>13</v>
      </c>
      <c r="M111" s="1" t="s">
        <v>13</v>
      </c>
      <c r="N111" s="1" t="s">
        <v>13</v>
      </c>
      <c r="O111" s="1" t="s">
        <v>13</v>
      </c>
      <c r="P111" s="1" t="s">
        <v>13</v>
      </c>
      <c r="Q111" s="51"/>
      <c r="R111" s="53"/>
      <c r="S111" s="51"/>
      <c r="T111" s="51"/>
      <c r="U111" s="51"/>
      <c r="V111" s="51"/>
      <c r="W111" s="51"/>
    </row>
    <row r="112" spans="1:23" x14ac:dyDescent="0.2">
      <c r="A112" s="227" t="s">
        <v>194</v>
      </c>
      <c r="B112" s="217" t="s">
        <v>221</v>
      </c>
      <c r="C112" s="216" t="s">
        <v>102</v>
      </c>
      <c r="D112" s="216"/>
      <c r="E112" s="96">
        <f>SUM(E113:E119)</f>
        <v>0</v>
      </c>
      <c r="F112" s="96">
        <f t="shared" ref="F112:K112" si="16">SUM(F113:F119)</f>
        <v>0</v>
      </c>
      <c r="G112" s="96">
        <f t="shared" si="16"/>
        <v>0</v>
      </c>
      <c r="H112" s="96">
        <f t="shared" si="16"/>
        <v>0</v>
      </c>
      <c r="I112" s="96">
        <v>158592.30000000002</v>
      </c>
      <c r="J112" s="96">
        <v>348898</v>
      </c>
      <c r="K112" s="96">
        <f t="shared" si="16"/>
        <v>0</v>
      </c>
      <c r="L112" s="1" t="s">
        <v>13</v>
      </c>
      <c r="M112" s="1" t="s">
        <v>13</v>
      </c>
      <c r="N112" s="1" t="s">
        <v>13</v>
      </c>
      <c r="O112" s="1" t="s">
        <v>13</v>
      </c>
      <c r="P112" s="1" t="s">
        <v>13</v>
      </c>
      <c r="Q112" s="51"/>
      <c r="R112" s="53"/>
      <c r="S112" s="51"/>
      <c r="T112" s="51"/>
      <c r="U112" s="51"/>
      <c r="V112" s="51"/>
      <c r="W112" s="51"/>
    </row>
    <row r="113" spans="1:24" ht="45" customHeight="1" x14ac:dyDescent="0.2">
      <c r="A113" s="228"/>
      <c r="B113" s="218"/>
      <c r="C113" s="216" t="s">
        <v>96</v>
      </c>
      <c r="D113" s="127" t="s">
        <v>124</v>
      </c>
      <c r="E113" s="96">
        <v>0</v>
      </c>
      <c r="F113" s="96">
        <v>0</v>
      </c>
      <c r="G113" s="96">
        <v>0</v>
      </c>
      <c r="H113" s="96">
        <v>0</v>
      </c>
      <c r="I113" s="96">
        <v>9515.6</v>
      </c>
      <c r="J113" s="96">
        <v>20933.900000000001</v>
      </c>
      <c r="K113" s="96">
        <v>0</v>
      </c>
      <c r="L113" s="1" t="s">
        <v>13</v>
      </c>
      <c r="M113" s="1" t="s">
        <v>13</v>
      </c>
      <c r="N113" s="1" t="s">
        <v>13</v>
      </c>
      <c r="O113" s="1" t="s">
        <v>13</v>
      </c>
      <c r="P113" s="1" t="s">
        <v>13</v>
      </c>
      <c r="Q113" s="51"/>
      <c r="R113" s="53"/>
      <c r="S113" s="51"/>
      <c r="T113" s="51"/>
      <c r="U113" s="51"/>
      <c r="V113" s="51"/>
      <c r="W113" s="51"/>
    </row>
    <row r="114" spans="1:24" ht="45" customHeight="1" x14ac:dyDescent="0.2">
      <c r="A114" s="228"/>
      <c r="B114" s="218"/>
      <c r="C114" s="216"/>
      <c r="D114" s="127" t="s">
        <v>125</v>
      </c>
      <c r="E114" s="96">
        <v>0</v>
      </c>
      <c r="F114" s="96">
        <v>0</v>
      </c>
      <c r="G114" s="96">
        <v>0</v>
      </c>
      <c r="H114" s="96">
        <v>0</v>
      </c>
      <c r="I114" s="96">
        <v>149076.70000000001</v>
      </c>
      <c r="J114" s="96">
        <v>327964.09999999998</v>
      </c>
      <c r="K114" s="96">
        <v>0</v>
      </c>
      <c r="L114" s="1" t="s">
        <v>13</v>
      </c>
      <c r="M114" s="1" t="s">
        <v>13</v>
      </c>
      <c r="N114" s="1" t="s">
        <v>13</v>
      </c>
      <c r="O114" s="1" t="s">
        <v>13</v>
      </c>
      <c r="P114" s="1" t="s">
        <v>13</v>
      </c>
      <c r="Q114" s="51"/>
      <c r="R114" s="53"/>
      <c r="S114" s="51"/>
      <c r="T114" s="51"/>
      <c r="U114" s="51"/>
      <c r="V114" s="51"/>
      <c r="W114" s="51"/>
    </row>
    <row r="115" spans="1:24" ht="54.75" customHeight="1" x14ac:dyDescent="0.2">
      <c r="A115" s="228"/>
      <c r="B115" s="218"/>
      <c r="C115" s="216"/>
      <c r="D115" s="127" t="s">
        <v>126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1" t="s">
        <v>13</v>
      </c>
      <c r="M115" s="1" t="s">
        <v>13</v>
      </c>
      <c r="N115" s="1" t="s">
        <v>13</v>
      </c>
      <c r="O115" s="1" t="s">
        <v>13</v>
      </c>
      <c r="P115" s="1" t="s">
        <v>13</v>
      </c>
      <c r="Q115" s="51"/>
      <c r="R115" s="53"/>
      <c r="S115" s="51"/>
      <c r="T115" s="51"/>
      <c r="U115" s="51"/>
      <c r="V115" s="51"/>
      <c r="W115" s="51"/>
    </row>
    <row r="116" spans="1:24" ht="18" customHeight="1" x14ac:dyDescent="0.2">
      <c r="A116" s="228"/>
      <c r="B116" s="218"/>
      <c r="C116" s="216" t="s">
        <v>103</v>
      </c>
      <c r="D116" s="216"/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1" t="s">
        <v>13</v>
      </c>
      <c r="M116" s="1" t="s">
        <v>13</v>
      </c>
      <c r="N116" s="1" t="s">
        <v>13</v>
      </c>
      <c r="O116" s="1" t="s">
        <v>13</v>
      </c>
      <c r="P116" s="1" t="s">
        <v>13</v>
      </c>
      <c r="Q116" s="51"/>
      <c r="R116" s="53"/>
      <c r="S116" s="51"/>
      <c r="T116" s="51"/>
      <c r="U116" s="51"/>
      <c r="V116" s="51"/>
      <c r="W116" s="51"/>
    </row>
    <row r="117" spans="1:24" ht="28.5" customHeight="1" x14ac:dyDescent="0.2">
      <c r="A117" s="228"/>
      <c r="B117" s="218"/>
      <c r="C117" s="216" t="s">
        <v>99</v>
      </c>
      <c r="D117" s="216"/>
      <c r="E117" s="96"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1" t="s">
        <v>13</v>
      </c>
      <c r="M117" s="1" t="s">
        <v>13</v>
      </c>
      <c r="N117" s="1" t="s">
        <v>13</v>
      </c>
      <c r="O117" s="1" t="s">
        <v>13</v>
      </c>
      <c r="P117" s="1" t="s">
        <v>13</v>
      </c>
      <c r="Q117" s="51"/>
      <c r="R117" s="53"/>
      <c r="S117" s="51"/>
      <c r="T117" s="51"/>
      <c r="U117" s="51"/>
      <c r="V117" s="51"/>
      <c r="W117" s="51"/>
    </row>
    <row r="118" spans="1:24" ht="17.25" customHeight="1" x14ac:dyDescent="0.2">
      <c r="A118" s="228"/>
      <c r="B118" s="218"/>
      <c r="C118" s="216" t="s">
        <v>104</v>
      </c>
      <c r="D118" s="216"/>
      <c r="E118" s="96">
        <v>0</v>
      </c>
      <c r="F118" s="96">
        <v>0</v>
      </c>
      <c r="G118" s="96">
        <v>0</v>
      </c>
      <c r="H118" s="96">
        <v>0</v>
      </c>
      <c r="I118" s="96">
        <v>0</v>
      </c>
      <c r="J118" s="96">
        <v>0</v>
      </c>
      <c r="K118" s="96">
        <v>0</v>
      </c>
      <c r="L118" s="1" t="s">
        <v>13</v>
      </c>
      <c r="M118" s="1" t="s">
        <v>13</v>
      </c>
      <c r="N118" s="1" t="s">
        <v>13</v>
      </c>
      <c r="O118" s="1" t="s">
        <v>13</v>
      </c>
      <c r="P118" s="1" t="s">
        <v>13</v>
      </c>
      <c r="Q118" s="51"/>
      <c r="R118" s="53"/>
      <c r="S118" s="51"/>
      <c r="T118" s="51"/>
      <c r="U118" s="51"/>
      <c r="V118" s="51"/>
      <c r="W118" s="51"/>
    </row>
    <row r="119" spans="1:24" ht="18.75" customHeight="1" x14ac:dyDescent="0.2">
      <c r="A119" s="229"/>
      <c r="B119" s="221"/>
      <c r="C119" s="216" t="s">
        <v>105</v>
      </c>
      <c r="D119" s="216"/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1" t="s">
        <v>13</v>
      </c>
      <c r="M119" s="1" t="s">
        <v>13</v>
      </c>
      <c r="N119" s="1" t="s">
        <v>13</v>
      </c>
      <c r="O119" s="1" t="s">
        <v>13</v>
      </c>
      <c r="P119" s="1" t="s">
        <v>13</v>
      </c>
      <c r="Q119" s="51"/>
      <c r="R119" s="53"/>
      <c r="S119" s="51"/>
      <c r="T119" s="51"/>
      <c r="U119" s="51"/>
      <c r="V119" s="51"/>
      <c r="W119" s="51"/>
    </row>
    <row r="120" spans="1:24" ht="16.5" customHeight="1" x14ac:dyDescent="0.2">
      <c r="A120" s="160" t="s">
        <v>81</v>
      </c>
      <c r="B120" s="217" t="s">
        <v>159</v>
      </c>
      <c r="C120" s="222" t="s">
        <v>102</v>
      </c>
      <c r="D120" s="223"/>
      <c r="E120" s="96">
        <f t="shared" ref="E120:H127" si="17">E128+E136</f>
        <v>31981.200000000001</v>
      </c>
      <c r="F120" s="96">
        <f t="shared" si="17"/>
        <v>39388.6</v>
      </c>
      <c r="G120" s="96">
        <f t="shared" si="17"/>
        <v>47870.700000000004</v>
      </c>
      <c r="H120" s="96">
        <f t="shared" si="17"/>
        <v>40565.9</v>
      </c>
      <c r="I120" s="96">
        <f>SUM(I121:I127)</f>
        <v>32818.6</v>
      </c>
      <c r="J120" s="96">
        <v>6147.1</v>
      </c>
      <c r="K120" s="96">
        <v>6147.1</v>
      </c>
      <c r="L120" s="1" t="s">
        <v>13</v>
      </c>
      <c r="M120" s="1" t="s">
        <v>13</v>
      </c>
      <c r="N120" s="1" t="s">
        <v>13</v>
      </c>
      <c r="O120" s="1" t="s">
        <v>13</v>
      </c>
      <c r="P120" s="1" t="s">
        <v>13</v>
      </c>
      <c r="Q120" s="51"/>
      <c r="R120" s="51"/>
      <c r="S120" s="51"/>
      <c r="T120" s="51"/>
      <c r="U120" s="51"/>
      <c r="V120" s="51"/>
      <c r="W120" s="51"/>
      <c r="X120" s="51"/>
    </row>
    <row r="121" spans="1:24" ht="41.25" customHeight="1" x14ac:dyDescent="0.2">
      <c r="A121" s="163"/>
      <c r="B121" s="218"/>
      <c r="C121" s="224" t="s">
        <v>96</v>
      </c>
      <c r="D121" s="143" t="s">
        <v>124</v>
      </c>
      <c r="E121" s="96">
        <f t="shared" si="17"/>
        <v>31981.200000000001</v>
      </c>
      <c r="F121" s="96">
        <f t="shared" si="17"/>
        <v>39388.6</v>
      </c>
      <c r="G121" s="96">
        <f t="shared" si="17"/>
        <v>47870.700000000004</v>
      </c>
      <c r="H121" s="96">
        <f t="shared" si="17"/>
        <v>35429.9</v>
      </c>
      <c r="I121" s="96">
        <f>I129</f>
        <v>32818.6</v>
      </c>
      <c r="J121" s="96">
        <v>6147.1</v>
      </c>
      <c r="K121" s="96">
        <v>6147.1</v>
      </c>
      <c r="L121" s="1" t="s">
        <v>13</v>
      </c>
      <c r="M121" s="1" t="s">
        <v>13</v>
      </c>
      <c r="N121" s="1" t="s">
        <v>13</v>
      </c>
      <c r="O121" s="1" t="s">
        <v>13</v>
      </c>
      <c r="P121" s="1" t="s">
        <v>13</v>
      </c>
      <c r="Q121" s="51"/>
      <c r="R121" s="53"/>
      <c r="S121" s="51"/>
      <c r="T121" s="51"/>
      <c r="U121" s="51"/>
      <c r="V121" s="51"/>
      <c r="W121" s="51"/>
    </row>
    <row r="122" spans="1:24" ht="41.25" customHeight="1" x14ac:dyDescent="0.2">
      <c r="A122" s="163"/>
      <c r="B122" s="218"/>
      <c r="C122" s="225"/>
      <c r="D122" s="143" t="s">
        <v>125</v>
      </c>
      <c r="E122" s="96">
        <f t="shared" si="17"/>
        <v>0</v>
      </c>
      <c r="F122" s="96">
        <f t="shared" si="17"/>
        <v>0</v>
      </c>
      <c r="G122" s="96">
        <f t="shared" si="17"/>
        <v>0</v>
      </c>
      <c r="H122" s="96">
        <f t="shared" si="17"/>
        <v>5136</v>
      </c>
      <c r="I122" s="96">
        <v>0</v>
      </c>
      <c r="J122" s="96">
        <v>0</v>
      </c>
      <c r="K122" s="96">
        <v>0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51"/>
      <c r="R122" s="53"/>
      <c r="S122" s="51"/>
      <c r="T122" s="51"/>
      <c r="U122" s="51"/>
      <c r="V122" s="51"/>
      <c r="W122" s="51"/>
    </row>
    <row r="123" spans="1:24" ht="55.5" customHeight="1" x14ac:dyDescent="0.2">
      <c r="A123" s="163"/>
      <c r="B123" s="218"/>
      <c r="C123" s="226"/>
      <c r="D123" s="143" t="s">
        <v>126</v>
      </c>
      <c r="E123" s="96">
        <f t="shared" si="17"/>
        <v>0</v>
      </c>
      <c r="F123" s="96">
        <f t="shared" si="17"/>
        <v>0</v>
      </c>
      <c r="G123" s="96">
        <f t="shared" si="17"/>
        <v>0</v>
      </c>
      <c r="H123" s="96">
        <f t="shared" si="17"/>
        <v>0</v>
      </c>
      <c r="I123" s="96">
        <v>0</v>
      </c>
      <c r="J123" s="96">
        <v>0</v>
      </c>
      <c r="K123" s="96">
        <v>0</v>
      </c>
      <c r="L123" s="1" t="s">
        <v>13</v>
      </c>
      <c r="M123" s="1" t="s">
        <v>13</v>
      </c>
      <c r="N123" s="1" t="s">
        <v>13</v>
      </c>
      <c r="O123" s="1" t="s">
        <v>13</v>
      </c>
      <c r="P123" s="1" t="s">
        <v>13</v>
      </c>
      <c r="Q123" s="51"/>
      <c r="R123" s="53"/>
      <c r="S123" s="51"/>
      <c r="T123" s="51"/>
      <c r="U123" s="51"/>
      <c r="V123" s="51"/>
      <c r="W123" s="51"/>
    </row>
    <row r="124" spans="1:24" ht="16.5" customHeight="1" x14ac:dyDescent="0.2">
      <c r="A124" s="163"/>
      <c r="B124" s="218"/>
      <c r="C124" s="222" t="s">
        <v>103</v>
      </c>
      <c r="D124" s="223"/>
      <c r="E124" s="96">
        <f t="shared" si="17"/>
        <v>0</v>
      </c>
      <c r="F124" s="96">
        <f t="shared" si="17"/>
        <v>0</v>
      </c>
      <c r="G124" s="96">
        <f t="shared" si="17"/>
        <v>0</v>
      </c>
      <c r="H124" s="96">
        <f t="shared" si="17"/>
        <v>0</v>
      </c>
      <c r="I124" s="96">
        <v>0</v>
      </c>
      <c r="J124" s="96">
        <v>0</v>
      </c>
      <c r="K124" s="96">
        <v>0</v>
      </c>
      <c r="L124" s="1" t="s">
        <v>13</v>
      </c>
      <c r="M124" s="1" t="s">
        <v>13</v>
      </c>
      <c r="N124" s="1" t="s">
        <v>13</v>
      </c>
      <c r="O124" s="1" t="s">
        <v>13</v>
      </c>
      <c r="P124" s="1" t="s">
        <v>13</v>
      </c>
      <c r="Q124" s="51"/>
      <c r="R124" s="53"/>
      <c r="S124" s="51"/>
      <c r="T124" s="51"/>
      <c r="U124" s="51"/>
      <c r="V124" s="51"/>
      <c r="W124" s="51"/>
    </row>
    <row r="125" spans="1:24" ht="30" customHeight="1" x14ac:dyDescent="0.2">
      <c r="A125" s="163"/>
      <c r="B125" s="218"/>
      <c r="C125" s="222" t="s">
        <v>99</v>
      </c>
      <c r="D125" s="223"/>
      <c r="E125" s="96">
        <f t="shared" si="17"/>
        <v>0</v>
      </c>
      <c r="F125" s="96">
        <f t="shared" si="17"/>
        <v>0</v>
      </c>
      <c r="G125" s="96">
        <f t="shared" si="17"/>
        <v>0</v>
      </c>
      <c r="H125" s="96">
        <f t="shared" si="17"/>
        <v>0</v>
      </c>
      <c r="I125" s="96">
        <v>0</v>
      </c>
      <c r="J125" s="96">
        <v>0</v>
      </c>
      <c r="K125" s="96">
        <v>0</v>
      </c>
      <c r="L125" s="1" t="s">
        <v>13</v>
      </c>
      <c r="M125" s="1" t="s">
        <v>13</v>
      </c>
      <c r="N125" s="1" t="s">
        <v>13</v>
      </c>
      <c r="O125" s="1" t="s">
        <v>13</v>
      </c>
      <c r="P125" s="1" t="s">
        <v>13</v>
      </c>
      <c r="Q125" s="51"/>
      <c r="R125" s="53"/>
      <c r="S125" s="51"/>
      <c r="T125" s="51"/>
      <c r="U125" s="51"/>
      <c r="V125" s="51"/>
      <c r="W125" s="51"/>
    </row>
    <row r="126" spans="1:24" ht="29.25" customHeight="1" x14ac:dyDescent="0.2">
      <c r="A126" s="163"/>
      <c r="B126" s="218"/>
      <c r="C126" s="222" t="s">
        <v>104</v>
      </c>
      <c r="D126" s="223"/>
      <c r="E126" s="96">
        <f t="shared" si="17"/>
        <v>0</v>
      </c>
      <c r="F126" s="96">
        <f t="shared" si="17"/>
        <v>0</v>
      </c>
      <c r="G126" s="96">
        <f t="shared" si="17"/>
        <v>0</v>
      </c>
      <c r="H126" s="96">
        <f t="shared" si="17"/>
        <v>0</v>
      </c>
      <c r="I126" s="96">
        <v>0</v>
      </c>
      <c r="J126" s="96">
        <v>0</v>
      </c>
      <c r="K126" s="96">
        <v>0</v>
      </c>
      <c r="L126" s="1" t="s">
        <v>13</v>
      </c>
      <c r="M126" s="1" t="s">
        <v>13</v>
      </c>
      <c r="N126" s="1" t="s">
        <v>13</v>
      </c>
      <c r="O126" s="1" t="s">
        <v>13</v>
      </c>
      <c r="P126" s="1" t="s">
        <v>13</v>
      </c>
      <c r="Q126" s="51"/>
      <c r="R126" s="53"/>
      <c r="S126" s="51"/>
      <c r="T126" s="51"/>
      <c r="U126" s="51"/>
      <c r="V126" s="51"/>
      <c r="W126" s="51"/>
    </row>
    <row r="127" spans="1:24" ht="16.5" customHeight="1" x14ac:dyDescent="0.2">
      <c r="A127" s="161"/>
      <c r="B127" s="221"/>
      <c r="C127" s="222" t="s">
        <v>105</v>
      </c>
      <c r="D127" s="223"/>
      <c r="E127" s="96">
        <f t="shared" si="17"/>
        <v>0</v>
      </c>
      <c r="F127" s="96">
        <f t="shared" si="17"/>
        <v>0</v>
      </c>
      <c r="G127" s="96">
        <f t="shared" si="17"/>
        <v>0</v>
      </c>
      <c r="H127" s="96">
        <f t="shared" si="17"/>
        <v>0</v>
      </c>
      <c r="I127" s="96">
        <v>0</v>
      </c>
      <c r="J127" s="96">
        <v>0</v>
      </c>
      <c r="K127" s="96">
        <v>0</v>
      </c>
      <c r="L127" s="1" t="s">
        <v>13</v>
      </c>
      <c r="M127" s="1" t="s">
        <v>13</v>
      </c>
      <c r="N127" s="1" t="s">
        <v>13</v>
      </c>
      <c r="O127" s="1" t="s">
        <v>13</v>
      </c>
      <c r="P127" s="1" t="s">
        <v>13</v>
      </c>
      <c r="Q127" s="51"/>
      <c r="R127" s="53"/>
      <c r="S127" s="51"/>
      <c r="T127" s="51"/>
      <c r="U127" s="51"/>
      <c r="V127" s="51"/>
      <c r="W127" s="51"/>
    </row>
    <row r="128" spans="1:24" ht="16.5" customHeight="1" x14ac:dyDescent="0.2">
      <c r="A128" s="217" t="s">
        <v>181</v>
      </c>
      <c r="B128" s="217" t="s">
        <v>213</v>
      </c>
      <c r="C128" s="222" t="s">
        <v>102</v>
      </c>
      <c r="D128" s="223"/>
      <c r="E128" s="96">
        <v>31981.200000000001</v>
      </c>
      <c r="F128" s="96">
        <v>39388.6</v>
      </c>
      <c r="G128" s="96">
        <v>47770.700000000004</v>
      </c>
      <c r="H128" s="96">
        <v>33128.800000000003</v>
      </c>
      <c r="I128" s="96">
        <f>SUM(I129:I135)</f>
        <v>32818.6</v>
      </c>
      <c r="J128" s="96">
        <v>6147.1</v>
      </c>
      <c r="K128" s="96">
        <v>6147.1</v>
      </c>
      <c r="L128" s="1" t="s">
        <v>13</v>
      </c>
      <c r="M128" s="1" t="s">
        <v>13</v>
      </c>
      <c r="N128" s="1" t="s">
        <v>13</v>
      </c>
      <c r="O128" s="1" t="s">
        <v>13</v>
      </c>
      <c r="P128" s="1" t="s">
        <v>13</v>
      </c>
      <c r="Q128" s="54"/>
      <c r="R128" s="54"/>
      <c r="S128" s="54"/>
      <c r="T128" s="54"/>
      <c r="U128" s="54"/>
      <c r="V128" s="54"/>
      <c r="W128" s="54"/>
    </row>
    <row r="129" spans="1:23" ht="44.25" customHeight="1" x14ac:dyDescent="0.2">
      <c r="A129" s="218"/>
      <c r="B129" s="218"/>
      <c r="C129" s="224" t="s">
        <v>96</v>
      </c>
      <c r="D129" s="99" t="s">
        <v>124</v>
      </c>
      <c r="E129" s="96">
        <v>31981.200000000001</v>
      </c>
      <c r="F129" s="96">
        <v>39388.6</v>
      </c>
      <c r="G129" s="96">
        <v>47770.700000000004</v>
      </c>
      <c r="H129" s="96">
        <v>33128.800000000003</v>
      </c>
      <c r="I129" s="96">
        <f>'[2]Приложение 4'!L102</f>
        <v>32818.6</v>
      </c>
      <c r="J129" s="96">
        <v>6147.1</v>
      </c>
      <c r="K129" s="96">
        <v>6147.1</v>
      </c>
      <c r="L129" s="1" t="s">
        <v>13</v>
      </c>
      <c r="M129" s="1" t="s">
        <v>13</v>
      </c>
      <c r="N129" s="1" t="s">
        <v>13</v>
      </c>
      <c r="O129" s="1" t="s">
        <v>13</v>
      </c>
      <c r="P129" s="1" t="s">
        <v>13</v>
      </c>
      <c r="Q129" s="54"/>
      <c r="R129" s="54"/>
      <c r="S129" s="54"/>
      <c r="T129" s="54"/>
      <c r="U129" s="54"/>
      <c r="V129" s="54"/>
      <c r="W129" s="51"/>
    </row>
    <row r="130" spans="1:23" ht="46.5" customHeight="1" x14ac:dyDescent="0.2">
      <c r="A130" s="218"/>
      <c r="B130" s="218"/>
      <c r="C130" s="225"/>
      <c r="D130" s="99" t="s">
        <v>125</v>
      </c>
      <c r="E130" s="96">
        <v>0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1" t="s">
        <v>13</v>
      </c>
      <c r="M130" s="1" t="s">
        <v>13</v>
      </c>
      <c r="N130" s="1" t="s">
        <v>13</v>
      </c>
      <c r="O130" s="1" t="s">
        <v>13</v>
      </c>
      <c r="P130" s="1" t="s">
        <v>13</v>
      </c>
      <c r="Q130" s="51"/>
      <c r="R130" s="53"/>
      <c r="S130" s="51"/>
      <c r="T130" s="51"/>
      <c r="U130" s="51"/>
      <c r="V130" s="51"/>
      <c r="W130" s="51"/>
    </row>
    <row r="131" spans="1:23" ht="52.5" customHeight="1" x14ac:dyDescent="0.2">
      <c r="A131" s="218"/>
      <c r="B131" s="218"/>
      <c r="C131" s="226"/>
      <c r="D131" s="99" t="s">
        <v>126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1" t="s">
        <v>13</v>
      </c>
      <c r="M131" s="1" t="s">
        <v>13</v>
      </c>
      <c r="N131" s="1" t="s">
        <v>13</v>
      </c>
      <c r="O131" s="1" t="s">
        <v>13</v>
      </c>
      <c r="P131" s="1" t="s">
        <v>13</v>
      </c>
      <c r="Q131" s="51"/>
      <c r="R131" s="53"/>
      <c r="S131" s="51"/>
      <c r="T131" s="51"/>
      <c r="U131" s="51"/>
      <c r="V131" s="51"/>
      <c r="W131" s="51"/>
    </row>
    <row r="132" spans="1:23" ht="16.5" customHeight="1" x14ac:dyDescent="0.2">
      <c r="A132" s="218"/>
      <c r="B132" s="218"/>
      <c r="C132" s="222" t="s">
        <v>103</v>
      </c>
      <c r="D132" s="223"/>
      <c r="E132" s="96">
        <v>0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1" t="s">
        <v>13</v>
      </c>
      <c r="M132" s="1" t="s">
        <v>13</v>
      </c>
      <c r="N132" s="1" t="s">
        <v>13</v>
      </c>
      <c r="O132" s="1" t="s">
        <v>13</v>
      </c>
      <c r="P132" s="1" t="s">
        <v>13</v>
      </c>
      <c r="Q132" s="51"/>
      <c r="R132" s="53"/>
      <c r="S132" s="51"/>
      <c r="T132" s="51"/>
      <c r="U132" s="51"/>
      <c r="V132" s="51"/>
      <c r="W132" s="51"/>
    </row>
    <row r="133" spans="1:23" ht="16.5" customHeight="1" x14ac:dyDescent="0.2">
      <c r="A133" s="218"/>
      <c r="B133" s="218"/>
      <c r="C133" s="216" t="s">
        <v>99</v>
      </c>
      <c r="D133" s="216"/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1" t="s">
        <v>13</v>
      </c>
      <c r="M133" s="1" t="s">
        <v>13</v>
      </c>
      <c r="N133" s="1" t="s">
        <v>13</v>
      </c>
      <c r="O133" s="1" t="s">
        <v>13</v>
      </c>
      <c r="P133" s="1" t="s">
        <v>13</v>
      </c>
      <c r="Q133" s="51"/>
      <c r="R133" s="53"/>
      <c r="S133" s="51"/>
      <c r="T133" s="51"/>
      <c r="U133" s="51"/>
      <c r="V133" s="51"/>
      <c r="W133" s="51"/>
    </row>
    <row r="134" spans="1:23" ht="16.5" customHeight="1" x14ac:dyDescent="0.2">
      <c r="A134" s="218"/>
      <c r="B134" s="218"/>
      <c r="C134" s="216" t="s">
        <v>104</v>
      </c>
      <c r="D134" s="216"/>
      <c r="E134" s="96">
        <v>0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1" t="s">
        <v>13</v>
      </c>
      <c r="M134" s="1" t="s">
        <v>13</v>
      </c>
      <c r="N134" s="1" t="s">
        <v>13</v>
      </c>
      <c r="O134" s="1" t="s">
        <v>13</v>
      </c>
      <c r="P134" s="1" t="s">
        <v>13</v>
      </c>
      <c r="Q134" s="51"/>
      <c r="R134" s="53"/>
      <c r="S134" s="51"/>
      <c r="T134" s="51"/>
      <c r="U134" s="51"/>
      <c r="V134" s="51"/>
      <c r="W134" s="51"/>
    </row>
    <row r="135" spans="1:23" ht="16.5" customHeight="1" x14ac:dyDescent="0.2">
      <c r="A135" s="218"/>
      <c r="B135" s="218"/>
      <c r="C135" s="216" t="s">
        <v>105</v>
      </c>
      <c r="D135" s="216"/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1" t="s">
        <v>13</v>
      </c>
      <c r="M135" s="1" t="s">
        <v>13</v>
      </c>
      <c r="N135" s="1" t="s">
        <v>13</v>
      </c>
      <c r="O135" s="1" t="s">
        <v>13</v>
      </c>
      <c r="P135" s="1" t="s">
        <v>13</v>
      </c>
      <c r="Q135" s="51"/>
      <c r="R135" s="53"/>
      <c r="S135" s="51"/>
      <c r="T135" s="51"/>
      <c r="U135" s="51"/>
      <c r="V135" s="51"/>
      <c r="W135" s="51"/>
    </row>
    <row r="136" spans="1:23" ht="16.5" customHeight="1" x14ac:dyDescent="0.2">
      <c r="A136" s="219" t="s">
        <v>180</v>
      </c>
      <c r="B136" s="219" t="s">
        <v>214</v>
      </c>
      <c r="C136" s="216" t="s">
        <v>83</v>
      </c>
      <c r="D136" s="216"/>
      <c r="E136" s="96">
        <v>0</v>
      </c>
      <c r="F136" s="96">
        <v>0</v>
      </c>
      <c r="G136" s="96">
        <v>100</v>
      </c>
      <c r="H136" s="96">
        <v>7437.1</v>
      </c>
      <c r="I136" s="96">
        <v>0</v>
      </c>
      <c r="J136" s="96">
        <v>0</v>
      </c>
      <c r="K136" s="96">
        <v>0</v>
      </c>
      <c r="L136" s="1" t="s">
        <v>13</v>
      </c>
      <c r="M136" s="1" t="s">
        <v>13</v>
      </c>
      <c r="N136" s="1" t="s">
        <v>13</v>
      </c>
      <c r="O136" s="1" t="s">
        <v>13</v>
      </c>
      <c r="P136" s="1" t="s">
        <v>13</v>
      </c>
      <c r="Q136" s="51"/>
      <c r="R136" s="53"/>
      <c r="S136" s="51"/>
      <c r="T136" s="51"/>
      <c r="U136" s="51"/>
      <c r="V136" s="51"/>
      <c r="W136" s="51"/>
    </row>
    <row r="137" spans="1:23" ht="43.5" customHeight="1" x14ac:dyDescent="0.2">
      <c r="A137" s="219"/>
      <c r="B137" s="219"/>
      <c r="C137" s="216" t="s">
        <v>96</v>
      </c>
      <c r="D137" s="89" t="s">
        <v>124</v>
      </c>
      <c r="E137" s="96">
        <v>0</v>
      </c>
      <c r="F137" s="96">
        <v>0</v>
      </c>
      <c r="G137" s="96">
        <v>100</v>
      </c>
      <c r="H137" s="96">
        <v>2301.1</v>
      </c>
      <c r="I137" s="96">
        <v>0</v>
      </c>
      <c r="J137" s="96">
        <v>0</v>
      </c>
      <c r="K137" s="96">
        <v>0</v>
      </c>
      <c r="L137" s="1" t="s">
        <v>13</v>
      </c>
      <c r="M137" s="1" t="s">
        <v>13</v>
      </c>
      <c r="N137" s="1" t="s">
        <v>13</v>
      </c>
      <c r="O137" s="1" t="s">
        <v>13</v>
      </c>
      <c r="P137" s="1" t="s">
        <v>13</v>
      </c>
      <c r="Q137" s="51"/>
      <c r="R137" s="53"/>
      <c r="S137" s="51"/>
      <c r="T137" s="51"/>
      <c r="U137" s="51"/>
      <c r="V137" s="51"/>
      <c r="W137" s="51"/>
    </row>
    <row r="138" spans="1:23" ht="42" customHeight="1" x14ac:dyDescent="0.2">
      <c r="A138" s="219"/>
      <c r="B138" s="219"/>
      <c r="C138" s="216"/>
      <c r="D138" s="89" t="s">
        <v>125</v>
      </c>
      <c r="E138" s="96">
        <v>0</v>
      </c>
      <c r="F138" s="96">
        <v>0</v>
      </c>
      <c r="G138" s="96">
        <v>0</v>
      </c>
      <c r="H138" s="96">
        <v>5136</v>
      </c>
      <c r="I138" s="96">
        <v>0</v>
      </c>
      <c r="J138" s="96">
        <v>0</v>
      </c>
      <c r="K138" s="96">
        <v>0</v>
      </c>
      <c r="L138" s="1" t="s">
        <v>13</v>
      </c>
      <c r="M138" s="1" t="s">
        <v>13</v>
      </c>
      <c r="N138" s="1" t="s">
        <v>13</v>
      </c>
      <c r="O138" s="1" t="s">
        <v>13</v>
      </c>
      <c r="P138" s="1" t="s">
        <v>13</v>
      </c>
      <c r="Q138" s="51"/>
      <c r="R138" s="53"/>
      <c r="S138" s="51"/>
      <c r="T138" s="51"/>
      <c r="U138" s="51"/>
      <c r="V138" s="51"/>
      <c r="W138" s="51"/>
    </row>
    <row r="139" spans="1:23" ht="54" customHeight="1" x14ac:dyDescent="0.2">
      <c r="A139" s="219"/>
      <c r="B139" s="219"/>
      <c r="C139" s="216"/>
      <c r="D139" s="89" t="s">
        <v>126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1" t="s">
        <v>13</v>
      </c>
      <c r="M139" s="1" t="s">
        <v>13</v>
      </c>
      <c r="N139" s="1" t="s">
        <v>13</v>
      </c>
      <c r="O139" s="1" t="s">
        <v>13</v>
      </c>
      <c r="P139" s="1" t="s">
        <v>13</v>
      </c>
      <c r="Q139" s="51"/>
      <c r="R139" s="53"/>
      <c r="S139" s="51"/>
      <c r="T139" s="51"/>
      <c r="U139" s="51"/>
      <c r="V139" s="51"/>
      <c r="W139" s="51"/>
    </row>
    <row r="140" spans="1:23" ht="16.5" customHeight="1" x14ac:dyDescent="0.2">
      <c r="A140" s="219"/>
      <c r="B140" s="219"/>
      <c r="C140" s="216" t="s">
        <v>103</v>
      </c>
      <c r="D140" s="216"/>
      <c r="E140" s="96">
        <v>0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6">
        <v>0</v>
      </c>
      <c r="L140" s="1" t="s">
        <v>13</v>
      </c>
      <c r="M140" s="1" t="s">
        <v>13</v>
      </c>
      <c r="N140" s="1" t="s">
        <v>13</v>
      </c>
      <c r="O140" s="1" t="s">
        <v>13</v>
      </c>
      <c r="P140" s="1" t="s">
        <v>13</v>
      </c>
      <c r="Q140" s="51"/>
      <c r="R140" s="53"/>
      <c r="S140" s="51"/>
      <c r="T140" s="51"/>
      <c r="U140" s="51"/>
      <c r="V140" s="51"/>
      <c r="W140" s="51"/>
    </row>
    <row r="141" spans="1:23" ht="28.5" customHeight="1" x14ac:dyDescent="0.2">
      <c r="A141" s="219"/>
      <c r="B141" s="219"/>
      <c r="C141" s="216" t="s">
        <v>99</v>
      </c>
      <c r="D141" s="216"/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1" t="s">
        <v>13</v>
      </c>
      <c r="M141" s="1" t="s">
        <v>13</v>
      </c>
      <c r="N141" s="1" t="s">
        <v>13</v>
      </c>
      <c r="O141" s="1" t="s">
        <v>13</v>
      </c>
      <c r="P141" s="1" t="s">
        <v>13</v>
      </c>
      <c r="Q141" s="51"/>
      <c r="R141" s="53"/>
      <c r="S141" s="51"/>
      <c r="T141" s="51"/>
      <c r="U141" s="51"/>
      <c r="V141" s="51"/>
      <c r="W141" s="51"/>
    </row>
    <row r="142" spans="1:23" ht="29.25" customHeight="1" x14ac:dyDescent="0.2">
      <c r="A142" s="219"/>
      <c r="B142" s="219"/>
      <c r="C142" s="216" t="s">
        <v>104</v>
      </c>
      <c r="D142" s="216"/>
      <c r="E142" s="96">
        <v>0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1" t="s">
        <v>13</v>
      </c>
      <c r="M142" s="1" t="s">
        <v>13</v>
      </c>
      <c r="N142" s="1" t="s">
        <v>13</v>
      </c>
      <c r="O142" s="1" t="s">
        <v>13</v>
      </c>
      <c r="P142" s="1" t="s">
        <v>13</v>
      </c>
      <c r="Q142" s="51"/>
      <c r="R142" s="53"/>
      <c r="S142" s="51"/>
      <c r="T142" s="51"/>
      <c r="U142" s="51"/>
      <c r="V142" s="51"/>
      <c r="W142" s="51"/>
    </row>
    <row r="143" spans="1:23" ht="16.5" customHeight="1" x14ac:dyDescent="0.2">
      <c r="A143" s="219"/>
      <c r="B143" s="219"/>
      <c r="C143" s="216" t="s">
        <v>105</v>
      </c>
      <c r="D143" s="216"/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96">
        <v>0</v>
      </c>
      <c r="K143" s="96">
        <v>0</v>
      </c>
      <c r="L143" s="1" t="s">
        <v>13</v>
      </c>
      <c r="M143" s="1" t="s">
        <v>13</v>
      </c>
      <c r="N143" s="1" t="s">
        <v>13</v>
      </c>
      <c r="O143" s="1" t="s">
        <v>13</v>
      </c>
      <c r="P143" s="1" t="s">
        <v>13</v>
      </c>
      <c r="Q143" s="51"/>
      <c r="R143" s="53"/>
      <c r="S143" s="51"/>
      <c r="T143" s="51"/>
      <c r="U143" s="51"/>
      <c r="V143" s="51"/>
      <c r="W143" s="51"/>
    </row>
    <row r="144" spans="1:23" ht="16.5" customHeight="1" x14ac:dyDescent="0.2">
      <c r="A144" s="219" t="s">
        <v>182</v>
      </c>
      <c r="B144" s="219" t="s">
        <v>215</v>
      </c>
      <c r="C144" s="216" t="s">
        <v>83</v>
      </c>
      <c r="D144" s="216"/>
      <c r="E144" s="96">
        <f>SUM(E145:E152)</f>
        <v>46430.5</v>
      </c>
      <c r="F144" s="96">
        <f>SUM(F145:F152)</f>
        <v>41650</v>
      </c>
      <c r="G144" s="96">
        <f>SUM(G145:G152)</f>
        <v>44977.8</v>
      </c>
      <c r="H144" s="96">
        <f>SUM(H145:H152)</f>
        <v>206548.28</v>
      </c>
      <c r="I144" s="96">
        <v>0</v>
      </c>
      <c r="J144" s="96">
        <v>0</v>
      </c>
      <c r="K144" s="96">
        <v>0</v>
      </c>
      <c r="L144" s="1" t="s">
        <v>13</v>
      </c>
      <c r="M144" s="1" t="s">
        <v>13</v>
      </c>
      <c r="N144" s="1" t="s">
        <v>13</v>
      </c>
      <c r="O144" s="1" t="s">
        <v>13</v>
      </c>
      <c r="P144" s="1" t="s">
        <v>13</v>
      </c>
      <c r="Q144" s="54"/>
      <c r="R144" s="54"/>
      <c r="S144" s="54"/>
      <c r="T144" s="54"/>
      <c r="U144" s="54"/>
      <c r="V144" s="54"/>
      <c r="W144" s="54"/>
    </row>
    <row r="145" spans="1:24" ht="39.75" customHeight="1" x14ac:dyDescent="0.2">
      <c r="A145" s="219"/>
      <c r="B145" s="219"/>
      <c r="C145" s="216" t="s">
        <v>96</v>
      </c>
      <c r="D145" s="89" t="s">
        <v>124</v>
      </c>
      <c r="E145" s="96">
        <v>0</v>
      </c>
      <c r="F145" s="96">
        <v>0</v>
      </c>
      <c r="G145" s="96">
        <v>0</v>
      </c>
      <c r="H145" s="96">
        <v>0</v>
      </c>
      <c r="I145" s="96">
        <v>0</v>
      </c>
      <c r="J145" s="96">
        <v>0</v>
      </c>
      <c r="K145" s="96">
        <v>0</v>
      </c>
      <c r="L145" s="1" t="s">
        <v>13</v>
      </c>
      <c r="M145" s="1" t="s">
        <v>13</v>
      </c>
      <c r="N145" s="1" t="s">
        <v>13</v>
      </c>
      <c r="O145" s="1" t="s">
        <v>13</v>
      </c>
      <c r="P145" s="1" t="s">
        <v>13</v>
      </c>
      <c r="Q145" s="54"/>
      <c r="R145" s="54"/>
      <c r="S145" s="54"/>
      <c r="T145" s="54"/>
      <c r="U145" s="54"/>
      <c r="V145" s="54"/>
      <c r="W145" s="54"/>
    </row>
    <row r="146" spans="1:24" ht="44.25" customHeight="1" x14ac:dyDescent="0.2">
      <c r="A146" s="219"/>
      <c r="B146" s="219"/>
      <c r="C146" s="216"/>
      <c r="D146" s="89" t="s">
        <v>125</v>
      </c>
      <c r="E146" s="96">
        <v>0</v>
      </c>
      <c r="F146" s="96">
        <v>0</v>
      </c>
      <c r="G146" s="96">
        <v>0</v>
      </c>
      <c r="H146" s="96">
        <v>0</v>
      </c>
      <c r="I146" s="96">
        <v>0</v>
      </c>
      <c r="J146" s="96">
        <v>0</v>
      </c>
      <c r="K146" s="96">
        <v>0</v>
      </c>
      <c r="L146" s="1" t="s">
        <v>13</v>
      </c>
      <c r="M146" s="1" t="s">
        <v>13</v>
      </c>
      <c r="N146" s="1" t="s">
        <v>13</v>
      </c>
      <c r="O146" s="1" t="s">
        <v>13</v>
      </c>
      <c r="P146" s="1" t="s">
        <v>13</v>
      </c>
      <c r="Q146" s="51"/>
      <c r="R146" s="53"/>
      <c r="S146" s="51"/>
      <c r="T146" s="51"/>
      <c r="U146" s="51"/>
      <c r="V146" s="51"/>
      <c r="W146" s="51"/>
    </row>
    <row r="147" spans="1:24" ht="57" customHeight="1" x14ac:dyDescent="0.2">
      <c r="A147" s="219"/>
      <c r="B147" s="219"/>
      <c r="C147" s="216"/>
      <c r="D147" s="89" t="s">
        <v>126</v>
      </c>
      <c r="E147" s="96">
        <v>0</v>
      </c>
      <c r="F147" s="96">
        <v>0</v>
      </c>
      <c r="G147" s="96">
        <v>0</v>
      </c>
      <c r="H147" s="96">
        <v>0</v>
      </c>
      <c r="I147" s="96">
        <v>0</v>
      </c>
      <c r="J147" s="96">
        <v>0</v>
      </c>
      <c r="K147" s="96">
        <v>0</v>
      </c>
      <c r="L147" s="1" t="s">
        <v>13</v>
      </c>
      <c r="M147" s="1" t="s">
        <v>13</v>
      </c>
      <c r="N147" s="1" t="s">
        <v>13</v>
      </c>
      <c r="O147" s="1" t="s">
        <v>13</v>
      </c>
      <c r="P147" s="1" t="s">
        <v>13</v>
      </c>
      <c r="Q147" s="51"/>
      <c r="R147" s="53"/>
      <c r="S147" s="51"/>
      <c r="T147" s="51"/>
      <c r="U147" s="51"/>
      <c r="V147" s="51"/>
      <c r="W147" s="51"/>
    </row>
    <row r="148" spans="1:24" ht="16.5" customHeight="1" x14ac:dyDescent="0.2">
      <c r="A148" s="219"/>
      <c r="B148" s="219"/>
      <c r="C148" s="216" t="s">
        <v>103</v>
      </c>
      <c r="D148" s="216"/>
      <c r="E148" s="96">
        <v>0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1" t="s">
        <v>13</v>
      </c>
      <c r="M148" s="1" t="s">
        <v>13</v>
      </c>
      <c r="N148" s="1" t="s">
        <v>13</v>
      </c>
      <c r="O148" s="1" t="s">
        <v>13</v>
      </c>
      <c r="P148" s="1" t="s">
        <v>13</v>
      </c>
      <c r="Q148" s="51"/>
      <c r="R148" s="53"/>
      <c r="S148" s="51"/>
      <c r="T148" s="51"/>
      <c r="U148" s="51"/>
      <c r="V148" s="51"/>
      <c r="W148" s="51"/>
    </row>
    <row r="149" spans="1:24" ht="29.25" customHeight="1" x14ac:dyDescent="0.2">
      <c r="A149" s="219"/>
      <c r="B149" s="219"/>
      <c r="C149" s="216" t="s">
        <v>99</v>
      </c>
      <c r="D149" s="216"/>
      <c r="E149" s="96">
        <v>0</v>
      </c>
      <c r="F149" s="96">
        <v>0</v>
      </c>
      <c r="G149" s="96">
        <v>0</v>
      </c>
      <c r="H149" s="96">
        <v>0</v>
      </c>
      <c r="I149" s="96">
        <v>0</v>
      </c>
      <c r="J149" s="96">
        <v>0</v>
      </c>
      <c r="K149" s="96">
        <v>0</v>
      </c>
      <c r="L149" s="1" t="s">
        <v>13</v>
      </c>
      <c r="M149" s="1" t="s">
        <v>13</v>
      </c>
      <c r="N149" s="1" t="s">
        <v>13</v>
      </c>
      <c r="O149" s="1" t="s">
        <v>13</v>
      </c>
      <c r="P149" s="1" t="s">
        <v>13</v>
      </c>
      <c r="Q149" s="51"/>
      <c r="R149" s="53"/>
      <c r="S149" s="51"/>
      <c r="T149" s="51"/>
      <c r="U149" s="51"/>
      <c r="V149" s="51"/>
      <c r="W149" s="51"/>
    </row>
    <row r="150" spans="1:24" ht="22.5" customHeight="1" x14ac:dyDescent="0.2">
      <c r="A150" s="219"/>
      <c r="B150" s="219"/>
      <c r="C150" s="216" t="s">
        <v>104</v>
      </c>
      <c r="D150" s="216"/>
      <c r="E150" s="96">
        <v>0</v>
      </c>
      <c r="F150" s="96">
        <v>0</v>
      </c>
      <c r="G150" s="96">
        <v>0</v>
      </c>
      <c r="H150" s="96">
        <v>0</v>
      </c>
      <c r="I150" s="96">
        <v>0</v>
      </c>
      <c r="J150" s="96">
        <v>0</v>
      </c>
      <c r="K150" s="96">
        <v>0</v>
      </c>
      <c r="L150" s="1" t="s">
        <v>13</v>
      </c>
      <c r="M150" s="1" t="s">
        <v>13</v>
      </c>
      <c r="N150" s="1" t="s">
        <v>13</v>
      </c>
      <c r="O150" s="1" t="s">
        <v>13</v>
      </c>
      <c r="P150" s="1" t="s">
        <v>13</v>
      </c>
      <c r="Q150" s="51"/>
      <c r="R150" s="53"/>
      <c r="S150" s="51"/>
      <c r="T150" s="51"/>
      <c r="U150" s="51"/>
      <c r="V150" s="51"/>
      <c r="W150" s="51"/>
    </row>
    <row r="151" spans="1:24" ht="16.5" customHeight="1" x14ac:dyDescent="0.2">
      <c r="A151" s="219"/>
      <c r="B151" s="219"/>
      <c r="C151" s="216" t="s">
        <v>105</v>
      </c>
      <c r="D151" s="216"/>
      <c r="E151" s="96">
        <v>0</v>
      </c>
      <c r="F151" s="96">
        <v>0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1" t="s">
        <v>13</v>
      </c>
      <c r="M151" s="1" t="s">
        <v>13</v>
      </c>
      <c r="N151" s="1" t="s">
        <v>13</v>
      </c>
      <c r="O151" s="1" t="s">
        <v>13</v>
      </c>
      <c r="P151" s="1" t="s">
        <v>13</v>
      </c>
      <c r="Q151" s="51"/>
      <c r="R151" s="53"/>
      <c r="S151" s="51"/>
      <c r="T151" s="51"/>
      <c r="U151" s="51"/>
      <c r="V151" s="51"/>
      <c r="W151" s="51"/>
    </row>
    <row r="152" spans="1:24" ht="16.5" customHeight="1" x14ac:dyDescent="0.2">
      <c r="A152" s="219" t="s">
        <v>183</v>
      </c>
      <c r="B152" s="219" t="s">
        <v>216</v>
      </c>
      <c r="C152" s="216" t="s">
        <v>83</v>
      </c>
      <c r="D152" s="216"/>
      <c r="E152" s="96">
        <f>SUM(E153:E160)</f>
        <v>46430.5</v>
      </c>
      <c r="F152" s="96">
        <f>SUM(F153:F160)</f>
        <v>41650</v>
      </c>
      <c r="G152" s="96">
        <f>SUM(G153:G160)</f>
        <v>44977.8</v>
      </c>
      <c r="H152" s="96">
        <f>SUM(H153:H160)</f>
        <v>206548.28</v>
      </c>
      <c r="I152" s="96">
        <v>0</v>
      </c>
      <c r="J152" s="96">
        <v>0</v>
      </c>
      <c r="K152" s="96">
        <v>0</v>
      </c>
      <c r="L152" s="1" t="s">
        <v>13</v>
      </c>
      <c r="M152" s="1" t="s">
        <v>13</v>
      </c>
      <c r="N152" s="1" t="s">
        <v>13</v>
      </c>
      <c r="O152" s="1" t="s">
        <v>13</v>
      </c>
      <c r="P152" s="1" t="s">
        <v>13</v>
      </c>
      <c r="Q152" s="54"/>
      <c r="R152" s="54"/>
      <c r="S152" s="54"/>
      <c r="T152" s="54"/>
      <c r="U152" s="54"/>
      <c r="V152" s="54"/>
      <c r="W152" s="54"/>
    </row>
    <row r="153" spans="1:24" ht="39" customHeight="1" x14ac:dyDescent="0.2">
      <c r="A153" s="219"/>
      <c r="B153" s="219"/>
      <c r="C153" s="216" t="s">
        <v>96</v>
      </c>
      <c r="D153" s="143" t="s">
        <v>124</v>
      </c>
      <c r="E153" s="96">
        <v>0</v>
      </c>
      <c r="F153" s="96">
        <v>0</v>
      </c>
      <c r="G153" s="96">
        <v>100</v>
      </c>
      <c r="H153" s="96">
        <v>100</v>
      </c>
      <c r="I153" s="96">
        <v>0</v>
      </c>
      <c r="J153" s="96">
        <v>0</v>
      </c>
      <c r="K153" s="96">
        <v>0</v>
      </c>
      <c r="L153" s="1" t="s">
        <v>13</v>
      </c>
      <c r="M153" s="1" t="s">
        <v>13</v>
      </c>
      <c r="N153" s="1" t="s">
        <v>13</v>
      </c>
      <c r="O153" s="1" t="s">
        <v>13</v>
      </c>
      <c r="P153" s="1" t="s">
        <v>13</v>
      </c>
      <c r="Q153" s="54"/>
      <c r="R153" s="54"/>
      <c r="S153" s="54"/>
      <c r="T153" s="54"/>
      <c r="U153" s="54"/>
      <c r="V153" s="54"/>
      <c r="W153" s="54"/>
      <c r="X153" s="54"/>
    </row>
    <row r="154" spans="1:24" ht="44.25" customHeight="1" x14ac:dyDescent="0.2">
      <c r="A154" s="219"/>
      <c r="B154" s="219"/>
      <c r="C154" s="216"/>
      <c r="D154" s="143" t="s">
        <v>125</v>
      </c>
      <c r="E154" s="96">
        <v>0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0</v>
      </c>
      <c r="L154" s="1" t="s">
        <v>13</v>
      </c>
      <c r="M154" s="1" t="s">
        <v>13</v>
      </c>
      <c r="N154" s="1" t="s">
        <v>13</v>
      </c>
      <c r="O154" s="1" t="s">
        <v>13</v>
      </c>
      <c r="P154" s="1" t="s">
        <v>13</v>
      </c>
      <c r="Q154" s="51"/>
      <c r="R154" s="53"/>
      <c r="S154" s="51"/>
      <c r="T154" s="51"/>
      <c r="U154" s="51"/>
      <c r="V154" s="51"/>
      <c r="W154" s="51"/>
    </row>
    <row r="155" spans="1:24" ht="54" customHeight="1" x14ac:dyDescent="0.2">
      <c r="A155" s="219"/>
      <c r="B155" s="219"/>
      <c r="C155" s="216"/>
      <c r="D155" s="143" t="s">
        <v>126</v>
      </c>
      <c r="E155" s="96">
        <v>0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0</v>
      </c>
      <c r="L155" s="1" t="s">
        <v>13</v>
      </c>
      <c r="M155" s="1" t="s">
        <v>13</v>
      </c>
      <c r="N155" s="1" t="s">
        <v>13</v>
      </c>
      <c r="O155" s="1" t="s">
        <v>13</v>
      </c>
      <c r="P155" s="1" t="s">
        <v>13</v>
      </c>
      <c r="Q155" s="51"/>
      <c r="R155" s="53"/>
      <c r="S155" s="51"/>
      <c r="T155" s="51"/>
      <c r="U155" s="51"/>
      <c r="V155" s="51"/>
      <c r="W155" s="51"/>
    </row>
    <row r="156" spans="1:24" ht="16.5" customHeight="1" x14ac:dyDescent="0.2">
      <c r="A156" s="219"/>
      <c r="B156" s="219"/>
      <c r="C156" s="216" t="s">
        <v>103</v>
      </c>
      <c r="D156" s="216"/>
      <c r="E156" s="96">
        <v>0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1" t="s">
        <v>13</v>
      </c>
      <c r="M156" s="1" t="s">
        <v>13</v>
      </c>
      <c r="N156" s="1" t="s">
        <v>13</v>
      </c>
      <c r="O156" s="1" t="s">
        <v>13</v>
      </c>
      <c r="P156" s="1" t="s">
        <v>13</v>
      </c>
      <c r="Q156" s="51"/>
      <c r="R156" s="53"/>
      <c r="S156" s="51"/>
      <c r="T156" s="51"/>
      <c r="U156" s="51"/>
      <c r="V156" s="51"/>
      <c r="W156" s="51"/>
    </row>
    <row r="157" spans="1:24" ht="27" customHeight="1" x14ac:dyDescent="0.2">
      <c r="A157" s="219"/>
      <c r="B157" s="219"/>
      <c r="C157" s="216" t="s">
        <v>99</v>
      </c>
      <c r="D157" s="216"/>
      <c r="E157" s="96">
        <v>0</v>
      </c>
      <c r="F157" s="96">
        <v>0</v>
      </c>
      <c r="G157" s="96">
        <v>0</v>
      </c>
      <c r="H157" s="96">
        <v>0</v>
      </c>
      <c r="I157" s="96">
        <v>0</v>
      </c>
      <c r="J157" s="96">
        <v>0</v>
      </c>
      <c r="K157" s="96">
        <v>0</v>
      </c>
      <c r="L157" s="1" t="s">
        <v>13</v>
      </c>
      <c r="M157" s="1" t="s">
        <v>13</v>
      </c>
      <c r="N157" s="1" t="s">
        <v>13</v>
      </c>
      <c r="O157" s="1" t="s">
        <v>13</v>
      </c>
      <c r="P157" s="1" t="s">
        <v>13</v>
      </c>
      <c r="Q157" s="51"/>
      <c r="R157" s="53"/>
      <c r="S157" s="51"/>
      <c r="T157" s="51"/>
      <c r="U157" s="51"/>
      <c r="V157" s="51"/>
      <c r="W157" s="51"/>
    </row>
    <row r="158" spans="1:24" ht="37.5" customHeight="1" x14ac:dyDescent="0.2">
      <c r="A158" s="219"/>
      <c r="B158" s="219"/>
      <c r="C158" s="216" t="s">
        <v>104</v>
      </c>
      <c r="D158" s="216"/>
      <c r="E158" s="96">
        <v>0</v>
      </c>
      <c r="F158" s="96">
        <v>0</v>
      </c>
      <c r="G158" s="96">
        <v>0</v>
      </c>
      <c r="H158" s="96">
        <v>0</v>
      </c>
      <c r="I158" s="96">
        <v>0</v>
      </c>
      <c r="J158" s="96">
        <v>0</v>
      </c>
      <c r="K158" s="96">
        <v>0</v>
      </c>
      <c r="L158" s="1" t="s">
        <v>13</v>
      </c>
      <c r="M158" s="1" t="s">
        <v>13</v>
      </c>
      <c r="N158" s="1" t="s">
        <v>13</v>
      </c>
      <c r="O158" s="1" t="s">
        <v>13</v>
      </c>
      <c r="P158" s="1" t="s">
        <v>13</v>
      </c>
      <c r="Q158" s="51"/>
      <c r="R158" s="53"/>
      <c r="S158" s="51"/>
      <c r="T158" s="51"/>
      <c r="U158" s="51"/>
      <c r="V158" s="51"/>
      <c r="W158" s="51"/>
    </row>
    <row r="159" spans="1:24" ht="16.5" hidden="1" customHeight="1" x14ac:dyDescent="0.2">
      <c r="A159" s="219"/>
      <c r="B159" s="219"/>
      <c r="C159" s="216" t="s">
        <v>105</v>
      </c>
      <c r="D159" s="216"/>
      <c r="E159" s="96">
        <v>0</v>
      </c>
      <c r="F159" s="96">
        <v>0</v>
      </c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1" t="s">
        <v>13</v>
      </c>
      <c r="M159" s="1" t="s">
        <v>13</v>
      </c>
      <c r="N159" s="1" t="s">
        <v>13</v>
      </c>
      <c r="O159" s="1" t="s">
        <v>13</v>
      </c>
      <c r="P159" s="1" t="s">
        <v>13</v>
      </c>
      <c r="Q159" s="51"/>
      <c r="R159" s="53"/>
      <c r="S159" s="51"/>
      <c r="T159" s="51"/>
      <c r="U159" s="51"/>
      <c r="V159" s="51"/>
      <c r="W159" s="51"/>
    </row>
    <row r="160" spans="1:24" ht="16.5" customHeight="1" x14ac:dyDescent="0.2">
      <c r="A160" s="219" t="s">
        <v>184</v>
      </c>
      <c r="B160" s="219" t="s">
        <v>217</v>
      </c>
      <c r="C160" s="216" t="s">
        <v>83</v>
      </c>
      <c r="D160" s="216"/>
      <c r="E160" s="96">
        <f>SUM(E161:E168)</f>
        <v>46430.5</v>
      </c>
      <c r="F160" s="96">
        <f>SUM(F161:F168)</f>
        <v>41650</v>
      </c>
      <c r="G160" s="96">
        <f>SUM(G161:G168)</f>
        <v>44877.8</v>
      </c>
      <c r="H160" s="96">
        <f>SUM(H161:H168)</f>
        <v>206448.28</v>
      </c>
      <c r="I160" s="96">
        <v>0</v>
      </c>
      <c r="J160" s="96">
        <v>0</v>
      </c>
      <c r="K160" s="96">
        <v>0</v>
      </c>
      <c r="L160" s="1" t="s">
        <v>13</v>
      </c>
      <c r="M160" s="1" t="s">
        <v>13</v>
      </c>
      <c r="N160" s="1" t="s">
        <v>13</v>
      </c>
      <c r="O160" s="1" t="s">
        <v>13</v>
      </c>
      <c r="P160" s="1" t="s">
        <v>13</v>
      </c>
      <c r="Q160" s="51"/>
      <c r="R160" s="53"/>
      <c r="S160" s="51"/>
      <c r="T160" s="51"/>
      <c r="U160" s="51"/>
      <c r="V160" s="51"/>
      <c r="W160" s="51"/>
    </row>
    <row r="161" spans="1:23" ht="42.75" customHeight="1" x14ac:dyDescent="0.2">
      <c r="A161" s="219"/>
      <c r="B161" s="219"/>
      <c r="C161" s="216" t="s">
        <v>96</v>
      </c>
      <c r="D161" s="89" t="s">
        <v>124</v>
      </c>
      <c r="E161" s="96">
        <v>0</v>
      </c>
      <c r="F161" s="96">
        <v>0</v>
      </c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1" t="s">
        <v>13</v>
      </c>
      <c r="M161" s="1" t="s">
        <v>13</v>
      </c>
      <c r="N161" s="1" t="s">
        <v>13</v>
      </c>
      <c r="O161" s="1" t="s">
        <v>13</v>
      </c>
      <c r="P161" s="1" t="s">
        <v>13</v>
      </c>
      <c r="Q161" s="51"/>
      <c r="R161" s="53"/>
      <c r="S161" s="51"/>
      <c r="T161" s="51"/>
      <c r="U161" s="51"/>
      <c r="V161" s="51"/>
      <c r="W161" s="51"/>
    </row>
    <row r="162" spans="1:23" ht="41.25" customHeight="1" x14ac:dyDescent="0.2">
      <c r="A162" s="219"/>
      <c r="B162" s="219"/>
      <c r="C162" s="216"/>
      <c r="D162" s="89" t="s">
        <v>125</v>
      </c>
      <c r="E162" s="96">
        <v>0</v>
      </c>
      <c r="F162" s="96">
        <v>0</v>
      </c>
      <c r="G162" s="96">
        <v>0</v>
      </c>
      <c r="H162" s="96">
        <v>0</v>
      </c>
      <c r="I162" s="96">
        <v>0</v>
      </c>
      <c r="J162" s="96">
        <v>0</v>
      </c>
      <c r="K162" s="96">
        <v>0</v>
      </c>
      <c r="L162" s="1" t="s">
        <v>13</v>
      </c>
      <c r="M162" s="1" t="s">
        <v>13</v>
      </c>
      <c r="N162" s="1" t="s">
        <v>13</v>
      </c>
      <c r="O162" s="1" t="s">
        <v>13</v>
      </c>
      <c r="P162" s="1" t="s">
        <v>13</v>
      </c>
      <c r="Q162" s="51"/>
      <c r="R162" s="53"/>
      <c r="S162" s="51"/>
      <c r="T162" s="51"/>
      <c r="U162" s="51"/>
      <c r="V162" s="51"/>
      <c r="W162" s="51"/>
    </row>
    <row r="163" spans="1:23" ht="53.25" customHeight="1" x14ac:dyDescent="0.2">
      <c r="A163" s="219"/>
      <c r="B163" s="219"/>
      <c r="C163" s="216"/>
      <c r="D163" s="89" t="s">
        <v>126</v>
      </c>
      <c r="E163" s="96">
        <v>0</v>
      </c>
      <c r="F163" s="96">
        <v>0</v>
      </c>
      <c r="G163" s="96">
        <v>0</v>
      </c>
      <c r="H163" s="96">
        <v>0</v>
      </c>
      <c r="I163" s="96">
        <v>0</v>
      </c>
      <c r="J163" s="96">
        <v>0</v>
      </c>
      <c r="K163" s="96">
        <v>0</v>
      </c>
      <c r="L163" s="1" t="s">
        <v>13</v>
      </c>
      <c r="M163" s="1" t="s">
        <v>13</v>
      </c>
      <c r="N163" s="1" t="s">
        <v>13</v>
      </c>
      <c r="O163" s="1" t="s">
        <v>13</v>
      </c>
      <c r="P163" s="1" t="s">
        <v>13</v>
      </c>
      <c r="Q163" s="51"/>
      <c r="R163" s="53"/>
      <c r="S163" s="51"/>
      <c r="T163" s="51"/>
      <c r="U163" s="51"/>
      <c r="V163" s="51"/>
      <c r="W163" s="51"/>
    </row>
    <row r="164" spans="1:23" ht="16.5" customHeight="1" x14ac:dyDescent="0.2">
      <c r="A164" s="219"/>
      <c r="B164" s="219"/>
      <c r="C164" s="216" t="s">
        <v>103</v>
      </c>
      <c r="D164" s="216"/>
      <c r="E164" s="96">
        <v>0</v>
      </c>
      <c r="F164" s="96">
        <v>0</v>
      </c>
      <c r="G164" s="96">
        <v>0</v>
      </c>
      <c r="H164" s="96">
        <v>0</v>
      </c>
      <c r="I164" s="96">
        <v>0</v>
      </c>
      <c r="J164" s="96">
        <v>0</v>
      </c>
      <c r="K164" s="96">
        <v>0</v>
      </c>
      <c r="L164" s="1" t="s">
        <v>13</v>
      </c>
      <c r="M164" s="1" t="s">
        <v>13</v>
      </c>
      <c r="N164" s="1" t="s">
        <v>13</v>
      </c>
      <c r="O164" s="1" t="s">
        <v>13</v>
      </c>
      <c r="P164" s="1" t="s">
        <v>13</v>
      </c>
      <c r="Q164" s="51"/>
      <c r="R164" s="53"/>
      <c r="S164" s="51"/>
      <c r="T164" s="51"/>
      <c r="U164" s="51"/>
      <c r="V164" s="51"/>
      <c r="W164" s="51"/>
    </row>
    <row r="165" spans="1:23" ht="30" customHeight="1" x14ac:dyDescent="0.2">
      <c r="A165" s="219"/>
      <c r="B165" s="219"/>
      <c r="C165" s="216" t="s">
        <v>99</v>
      </c>
      <c r="D165" s="216"/>
      <c r="E165" s="96">
        <v>0</v>
      </c>
      <c r="F165" s="96">
        <v>0</v>
      </c>
      <c r="G165" s="96">
        <v>0</v>
      </c>
      <c r="H165" s="96">
        <v>0</v>
      </c>
      <c r="I165" s="96">
        <v>0</v>
      </c>
      <c r="J165" s="96">
        <v>0</v>
      </c>
      <c r="K165" s="96">
        <v>0</v>
      </c>
      <c r="L165" s="1" t="s">
        <v>13</v>
      </c>
      <c r="M165" s="1" t="s">
        <v>13</v>
      </c>
      <c r="N165" s="1" t="s">
        <v>13</v>
      </c>
      <c r="O165" s="1" t="s">
        <v>13</v>
      </c>
      <c r="P165" s="1" t="s">
        <v>13</v>
      </c>
      <c r="Q165" s="51"/>
      <c r="R165" s="53"/>
      <c r="S165" s="51"/>
      <c r="T165" s="51"/>
      <c r="U165" s="51"/>
      <c r="V165" s="51"/>
      <c r="W165" s="51"/>
    </row>
    <row r="166" spans="1:23" ht="18.75" customHeight="1" x14ac:dyDescent="0.2">
      <c r="A166" s="219"/>
      <c r="B166" s="219"/>
      <c r="C166" s="216" t="s">
        <v>104</v>
      </c>
      <c r="D166" s="216"/>
      <c r="E166" s="96">
        <v>0</v>
      </c>
      <c r="F166" s="96">
        <v>0</v>
      </c>
      <c r="G166" s="96">
        <v>0</v>
      </c>
      <c r="H166" s="96">
        <v>0</v>
      </c>
      <c r="I166" s="96">
        <v>0</v>
      </c>
      <c r="J166" s="96">
        <v>0</v>
      </c>
      <c r="K166" s="96">
        <v>0</v>
      </c>
      <c r="L166" s="1" t="s">
        <v>13</v>
      </c>
      <c r="M166" s="1" t="s">
        <v>13</v>
      </c>
      <c r="N166" s="1" t="s">
        <v>13</v>
      </c>
      <c r="O166" s="1" t="s">
        <v>13</v>
      </c>
      <c r="P166" s="1" t="s">
        <v>13</v>
      </c>
      <c r="Q166" s="51"/>
      <c r="R166" s="53"/>
      <c r="S166" s="51"/>
      <c r="T166" s="51"/>
      <c r="U166" s="51"/>
      <c r="V166" s="51"/>
      <c r="W166" s="51"/>
    </row>
    <row r="167" spans="1:23" ht="16.5" customHeight="1" x14ac:dyDescent="0.2">
      <c r="A167" s="219"/>
      <c r="B167" s="219"/>
      <c r="C167" s="216" t="s">
        <v>105</v>
      </c>
      <c r="D167" s="216"/>
      <c r="E167" s="96"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  <c r="L167" s="1" t="s">
        <v>13</v>
      </c>
      <c r="M167" s="1" t="s">
        <v>13</v>
      </c>
      <c r="N167" s="1" t="s">
        <v>13</v>
      </c>
      <c r="O167" s="1" t="s">
        <v>13</v>
      </c>
      <c r="P167" s="1" t="s">
        <v>13</v>
      </c>
      <c r="Q167" s="51"/>
      <c r="R167" s="53"/>
      <c r="S167" s="51"/>
      <c r="T167" s="51"/>
      <c r="U167" s="51"/>
      <c r="V167" s="51"/>
      <c r="W167" s="51"/>
    </row>
    <row r="168" spans="1:23" ht="12.75" customHeight="1" x14ac:dyDescent="0.2">
      <c r="A168" s="217" t="s">
        <v>156</v>
      </c>
      <c r="B168" s="217" t="s">
        <v>155</v>
      </c>
      <c r="C168" s="222" t="s">
        <v>102</v>
      </c>
      <c r="D168" s="223"/>
      <c r="E168" s="96">
        <f t="shared" ref="E168:H175" si="18">E176+E184</f>
        <v>46430.5</v>
      </c>
      <c r="F168" s="96">
        <f t="shared" si="18"/>
        <v>41650</v>
      </c>
      <c r="G168" s="96">
        <f t="shared" si="18"/>
        <v>44877.8</v>
      </c>
      <c r="H168" s="96">
        <f t="shared" si="18"/>
        <v>206448.28</v>
      </c>
      <c r="I168" s="96">
        <f>SUM(I169:I175)</f>
        <v>45997.5</v>
      </c>
      <c r="J168" s="96">
        <v>40492.699999999997</v>
      </c>
      <c r="K168" s="96">
        <v>39232.6</v>
      </c>
      <c r="L168" s="1" t="s">
        <v>13</v>
      </c>
      <c r="M168" s="1" t="s">
        <v>13</v>
      </c>
      <c r="N168" s="1" t="s">
        <v>13</v>
      </c>
      <c r="O168" s="1" t="s">
        <v>13</v>
      </c>
      <c r="P168" s="1" t="s">
        <v>13</v>
      </c>
      <c r="Q168" s="54"/>
      <c r="R168" s="54"/>
      <c r="S168" s="54"/>
      <c r="T168" s="54"/>
      <c r="U168" s="54"/>
      <c r="V168" s="54"/>
      <c r="W168" s="54"/>
    </row>
    <row r="169" spans="1:23" ht="42.75" customHeight="1" x14ac:dyDescent="0.2">
      <c r="A169" s="218"/>
      <c r="B169" s="218"/>
      <c r="C169" s="224" t="s">
        <v>96</v>
      </c>
      <c r="D169" s="89" t="s">
        <v>124</v>
      </c>
      <c r="E169" s="96">
        <f t="shared" si="18"/>
        <v>46430.5</v>
      </c>
      <c r="F169" s="96">
        <f t="shared" si="18"/>
        <v>41650</v>
      </c>
      <c r="G169" s="96">
        <f t="shared" si="18"/>
        <v>44877.8</v>
      </c>
      <c r="H169" s="96">
        <f t="shared" si="18"/>
        <v>67722.94</v>
      </c>
      <c r="I169" s="96">
        <f>I177</f>
        <v>45997.5</v>
      </c>
      <c r="J169" s="96">
        <v>40492.699999999997</v>
      </c>
      <c r="K169" s="96">
        <v>39232.6</v>
      </c>
      <c r="L169" s="1" t="s">
        <v>13</v>
      </c>
      <c r="M169" s="1" t="s">
        <v>13</v>
      </c>
      <c r="N169" s="1" t="s">
        <v>13</v>
      </c>
      <c r="O169" s="1" t="s">
        <v>13</v>
      </c>
      <c r="P169" s="1" t="s">
        <v>13</v>
      </c>
      <c r="Q169" s="54"/>
      <c r="R169" s="54"/>
      <c r="S169" s="54"/>
      <c r="T169" s="54"/>
      <c r="U169" s="54"/>
      <c r="V169" s="54"/>
      <c r="W169" s="54"/>
    </row>
    <row r="170" spans="1:23" ht="42.75" customHeight="1" x14ac:dyDescent="0.2">
      <c r="A170" s="218"/>
      <c r="B170" s="218"/>
      <c r="C170" s="225"/>
      <c r="D170" s="89" t="s">
        <v>125</v>
      </c>
      <c r="E170" s="96">
        <f t="shared" si="18"/>
        <v>0</v>
      </c>
      <c r="F170" s="96">
        <f t="shared" si="18"/>
        <v>0</v>
      </c>
      <c r="G170" s="96">
        <f t="shared" si="18"/>
        <v>0</v>
      </c>
      <c r="H170" s="96">
        <f t="shared" si="18"/>
        <v>57122.2</v>
      </c>
      <c r="I170" s="96">
        <v>0</v>
      </c>
      <c r="J170" s="96">
        <v>0</v>
      </c>
      <c r="K170" s="96">
        <v>0</v>
      </c>
      <c r="L170" s="1" t="s">
        <v>13</v>
      </c>
      <c r="M170" s="1" t="s">
        <v>13</v>
      </c>
      <c r="N170" s="1" t="s">
        <v>13</v>
      </c>
      <c r="O170" s="1" t="s">
        <v>13</v>
      </c>
      <c r="P170" s="1" t="s">
        <v>13</v>
      </c>
      <c r="Q170" s="51"/>
      <c r="R170" s="52"/>
      <c r="S170" s="51"/>
      <c r="T170" s="51"/>
      <c r="U170" s="51"/>
      <c r="V170" s="51"/>
      <c r="W170" s="51"/>
    </row>
    <row r="171" spans="1:23" ht="54" customHeight="1" x14ac:dyDescent="0.2">
      <c r="A171" s="218"/>
      <c r="B171" s="218"/>
      <c r="C171" s="226"/>
      <c r="D171" s="89" t="s">
        <v>126</v>
      </c>
      <c r="E171" s="96">
        <f t="shared" si="18"/>
        <v>0</v>
      </c>
      <c r="F171" s="96">
        <f t="shared" si="18"/>
        <v>0</v>
      </c>
      <c r="G171" s="96">
        <f t="shared" si="18"/>
        <v>0</v>
      </c>
      <c r="H171" s="96">
        <f t="shared" si="18"/>
        <v>0</v>
      </c>
      <c r="I171" s="96">
        <v>0</v>
      </c>
      <c r="J171" s="96">
        <v>0</v>
      </c>
      <c r="K171" s="96">
        <v>0</v>
      </c>
      <c r="L171" s="1" t="s">
        <v>13</v>
      </c>
      <c r="M171" s="1" t="s">
        <v>13</v>
      </c>
      <c r="N171" s="1" t="s">
        <v>13</v>
      </c>
      <c r="O171" s="1" t="s">
        <v>13</v>
      </c>
      <c r="P171" s="1" t="s">
        <v>13</v>
      </c>
      <c r="Q171" s="51"/>
      <c r="R171" s="53"/>
      <c r="S171" s="51"/>
      <c r="T171" s="51"/>
      <c r="U171" s="51"/>
      <c r="V171" s="51"/>
      <c r="W171" s="51"/>
    </row>
    <row r="172" spans="1:23" ht="15.75" customHeight="1" x14ac:dyDescent="0.2">
      <c r="A172" s="218"/>
      <c r="B172" s="218"/>
      <c r="C172" s="222" t="s">
        <v>103</v>
      </c>
      <c r="D172" s="223"/>
      <c r="E172" s="96">
        <f t="shared" si="18"/>
        <v>0</v>
      </c>
      <c r="F172" s="96">
        <f t="shared" si="18"/>
        <v>0</v>
      </c>
      <c r="G172" s="96">
        <f t="shared" si="18"/>
        <v>0</v>
      </c>
      <c r="H172" s="96">
        <f t="shared" si="18"/>
        <v>0</v>
      </c>
      <c r="I172" s="96">
        <v>0</v>
      </c>
      <c r="J172" s="96">
        <v>0</v>
      </c>
      <c r="K172" s="96">
        <v>0</v>
      </c>
      <c r="L172" s="1" t="s">
        <v>13</v>
      </c>
      <c r="M172" s="1" t="s">
        <v>13</v>
      </c>
      <c r="N172" s="1" t="s">
        <v>13</v>
      </c>
      <c r="O172" s="1" t="s">
        <v>13</v>
      </c>
      <c r="P172" s="1" t="s">
        <v>13</v>
      </c>
      <c r="Q172" s="51"/>
      <c r="R172" s="53"/>
      <c r="S172" s="51"/>
      <c r="T172" s="51"/>
      <c r="U172" s="51"/>
      <c r="V172" s="51"/>
      <c r="W172" s="51"/>
    </row>
    <row r="173" spans="1:23" ht="29.25" customHeight="1" x14ac:dyDescent="0.2">
      <c r="A173" s="218"/>
      <c r="B173" s="218"/>
      <c r="C173" s="222" t="s">
        <v>99</v>
      </c>
      <c r="D173" s="223"/>
      <c r="E173" s="96">
        <f t="shared" si="18"/>
        <v>0</v>
      </c>
      <c r="F173" s="96">
        <f t="shared" si="18"/>
        <v>0</v>
      </c>
      <c r="G173" s="96">
        <f t="shared" si="18"/>
        <v>0</v>
      </c>
      <c r="H173" s="96">
        <f t="shared" si="18"/>
        <v>0</v>
      </c>
      <c r="I173" s="96">
        <v>0</v>
      </c>
      <c r="J173" s="96">
        <v>0</v>
      </c>
      <c r="K173" s="96">
        <v>0</v>
      </c>
      <c r="L173" s="1" t="s">
        <v>13</v>
      </c>
      <c r="M173" s="1" t="s">
        <v>13</v>
      </c>
      <c r="N173" s="1" t="s">
        <v>13</v>
      </c>
      <c r="O173" s="1" t="s">
        <v>13</v>
      </c>
      <c r="P173" s="1" t="s">
        <v>13</v>
      </c>
      <c r="Q173" s="51"/>
      <c r="R173" s="53"/>
      <c r="S173" s="51"/>
      <c r="T173" s="51"/>
      <c r="U173" s="51"/>
      <c r="V173" s="51"/>
      <c r="W173" s="51"/>
    </row>
    <row r="174" spans="1:23" ht="27" customHeight="1" x14ac:dyDescent="0.2">
      <c r="A174" s="218"/>
      <c r="B174" s="218"/>
      <c r="C174" s="222" t="s">
        <v>104</v>
      </c>
      <c r="D174" s="223"/>
      <c r="E174" s="96">
        <f t="shared" si="18"/>
        <v>0</v>
      </c>
      <c r="F174" s="96">
        <f t="shared" si="18"/>
        <v>0</v>
      </c>
      <c r="G174" s="96">
        <f t="shared" si="18"/>
        <v>0</v>
      </c>
      <c r="H174" s="96">
        <f t="shared" si="18"/>
        <v>0</v>
      </c>
      <c r="I174" s="96">
        <v>0</v>
      </c>
      <c r="J174" s="96">
        <v>0</v>
      </c>
      <c r="K174" s="96">
        <v>0</v>
      </c>
      <c r="L174" s="1" t="s">
        <v>13</v>
      </c>
      <c r="M174" s="1" t="s">
        <v>13</v>
      </c>
      <c r="N174" s="1" t="s">
        <v>13</v>
      </c>
      <c r="O174" s="1" t="s">
        <v>13</v>
      </c>
      <c r="P174" s="1" t="s">
        <v>13</v>
      </c>
      <c r="Q174" s="51"/>
      <c r="R174" s="53"/>
      <c r="S174" s="51"/>
      <c r="T174" s="51"/>
      <c r="U174" s="51"/>
      <c r="V174" s="51"/>
      <c r="W174" s="51"/>
    </row>
    <row r="175" spans="1:23" ht="15.75" customHeight="1" x14ac:dyDescent="0.2">
      <c r="A175" s="218"/>
      <c r="B175" s="218"/>
      <c r="C175" s="222" t="s">
        <v>105</v>
      </c>
      <c r="D175" s="223"/>
      <c r="E175" s="96">
        <f t="shared" si="18"/>
        <v>0</v>
      </c>
      <c r="F175" s="96">
        <f t="shared" si="18"/>
        <v>0</v>
      </c>
      <c r="G175" s="96">
        <f t="shared" si="18"/>
        <v>0</v>
      </c>
      <c r="H175" s="96">
        <f t="shared" si="18"/>
        <v>0</v>
      </c>
      <c r="I175" s="96">
        <v>0</v>
      </c>
      <c r="J175" s="96">
        <v>0</v>
      </c>
      <c r="K175" s="96">
        <v>0</v>
      </c>
      <c r="L175" s="1" t="s">
        <v>13</v>
      </c>
      <c r="M175" s="1" t="s">
        <v>13</v>
      </c>
      <c r="N175" s="1" t="s">
        <v>13</v>
      </c>
      <c r="O175" s="1" t="s">
        <v>13</v>
      </c>
      <c r="P175" s="1" t="s">
        <v>13</v>
      </c>
      <c r="Q175" s="51"/>
      <c r="R175" s="53"/>
      <c r="S175" s="51"/>
      <c r="T175" s="51"/>
      <c r="U175" s="51"/>
      <c r="V175" s="51"/>
      <c r="W175" s="51"/>
    </row>
    <row r="176" spans="1:23" x14ac:dyDescent="0.2">
      <c r="A176" s="217" t="s">
        <v>190</v>
      </c>
      <c r="B176" s="217" t="s">
        <v>218</v>
      </c>
      <c r="C176" s="216" t="s">
        <v>102</v>
      </c>
      <c r="D176" s="216"/>
      <c r="E176" s="96">
        <v>46430.5</v>
      </c>
      <c r="F176" s="96">
        <v>41650</v>
      </c>
      <c r="G176" s="96">
        <v>44877.8</v>
      </c>
      <c r="H176" s="96">
        <v>124845.14</v>
      </c>
      <c r="I176" s="96">
        <f>SUM(I177:I183)</f>
        <v>45997.5</v>
      </c>
      <c r="J176" s="96">
        <v>40492.699999999997</v>
      </c>
      <c r="K176" s="96">
        <v>39232.6</v>
      </c>
      <c r="L176" s="1" t="s">
        <v>13</v>
      </c>
      <c r="M176" s="1" t="s">
        <v>13</v>
      </c>
      <c r="N176" s="1" t="s">
        <v>13</v>
      </c>
      <c r="O176" s="1" t="s">
        <v>13</v>
      </c>
      <c r="P176" s="1" t="s">
        <v>13</v>
      </c>
      <c r="Q176" s="51"/>
      <c r="R176" s="53"/>
      <c r="S176" s="51"/>
      <c r="T176" s="51"/>
      <c r="U176" s="51"/>
      <c r="V176" s="51"/>
      <c r="W176" s="51"/>
    </row>
    <row r="177" spans="1:26" ht="38.25" x14ac:dyDescent="0.2">
      <c r="A177" s="218"/>
      <c r="B177" s="218"/>
      <c r="C177" s="216" t="s">
        <v>96</v>
      </c>
      <c r="D177" s="89" t="s">
        <v>124</v>
      </c>
      <c r="E177" s="96">
        <v>46430.5</v>
      </c>
      <c r="F177" s="96">
        <v>41650</v>
      </c>
      <c r="G177" s="96">
        <v>44877.8</v>
      </c>
      <c r="H177" s="96">
        <f>67722.94-H185</f>
        <v>43242</v>
      </c>
      <c r="I177" s="96">
        <f>'[2]Приложение 4'!L119</f>
        <v>45997.5</v>
      </c>
      <c r="J177" s="96">
        <v>40492.699999999997</v>
      </c>
      <c r="K177" s="96">
        <v>39232.6</v>
      </c>
      <c r="L177" s="1" t="s">
        <v>13</v>
      </c>
      <c r="M177" s="1" t="s">
        <v>13</v>
      </c>
      <c r="N177" s="1" t="s">
        <v>13</v>
      </c>
      <c r="O177" s="1" t="s">
        <v>13</v>
      </c>
      <c r="P177" s="1" t="s">
        <v>13</v>
      </c>
      <c r="Q177" s="51"/>
      <c r="R177" s="53"/>
      <c r="S177" s="51"/>
      <c r="T177" s="51"/>
      <c r="U177" s="51"/>
      <c r="V177" s="51"/>
      <c r="W177" s="51"/>
    </row>
    <row r="178" spans="1:26" ht="38.25" x14ac:dyDescent="0.2">
      <c r="A178" s="218"/>
      <c r="B178" s="218"/>
      <c r="C178" s="216"/>
      <c r="D178" s="89" t="s">
        <v>125</v>
      </c>
      <c r="E178" s="96">
        <v>0</v>
      </c>
      <c r="F178" s="96">
        <v>0</v>
      </c>
      <c r="G178" s="96">
        <v>0</v>
      </c>
      <c r="H178" s="96">
        <f>57122.2-H186</f>
        <v>0</v>
      </c>
      <c r="I178" s="96">
        <v>0</v>
      </c>
      <c r="J178" s="96">
        <v>0</v>
      </c>
      <c r="K178" s="96">
        <v>0</v>
      </c>
      <c r="L178" s="1" t="s">
        <v>13</v>
      </c>
      <c r="M178" s="1" t="s">
        <v>13</v>
      </c>
      <c r="N178" s="1" t="s">
        <v>13</v>
      </c>
      <c r="O178" s="1" t="s">
        <v>13</v>
      </c>
      <c r="P178" s="1" t="s">
        <v>13</v>
      </c>
      <c r="Q178" s="51"/>
      <c r="R178" s="53"/>
      <c r="S178" s="51"/>
      <c r="T178" s="51"/>
      <c r="U178" s="51"/>
      <c r="V178" s="51"/>
      <c r="W178" s="51"/>
    </row>
    <row r="179" spans="1:26" ht="57.75" customHeight="1" x14ac:dyDescent="0.2">
      <c r="A179" s="218"/>
      <c r="B179" s="218"/>
      <c r="C179" s="216"/>
      <c r="D179" s="89" t="s">
        <v>126</v>
      </c>
      <c r="E179" s="96">
        <v>0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  <c r="L179" s="1" t="s">
        <v>13</v>
      </c>
      <c r="M179" s="1" t="s">
        <v>13</v>
      </c>
      <c r="N179" s="1" t="s">
        <v>13</v>
      </c>
      <c r="O179" s="1" t="s">
        <v>13</v>
      </c>
      <c r="P179" s="1" t="s">
        <v>13</v>
      </c>
      <c r="Q179" s="51"/>
      <c r="R179" s="53"/>
      <c r="S179" s="51"/>
      <c r="T179" s="51"/>
      <c r="U179" s="51"/>
      <c r="V179" s="51"/>
      <c r="W179" s="51"/>
    </row>
    <row r="180" spans="1:26" ht="17.25" customHeight="1" x14ac:dyDescent="0.2">
      <c r="A180" s="218"/>
      <c r="B180" s="218"/>
      <c r="C180" s="216" t="s">
        <v>103</v>
      </c>
      <c r="D180" s="216"/>
      <c r="E180" s="96">
        <v>0</v>
      </c>
      <c r="F180" s="96">
        <v>0</v>
      </c>
      <c r="G180" s="96">
        <v>0</v>
      </c>
      <c r="H180" s="96">
        <v>0</v>
      </c>
      <c r="I180" s="96">
        <v>0</v>
      </c>
      <c r="J180" s="96">
        <v>0</v>
      </c>
      <c r="K180" s="96">
        <v>0</v>
      </c>
      <c r="L180" s="1" t="s">
        <v>13</v>
      </c>
      <c r="M180" s="1" t="s">
        <v>13</v>
      </c>
      <c r="N180" s="1" t="s">
        <v>13</v>
      </c>
      <c r="O180" s="1" t="s">
        <v>13</v>
      </c>
      <c r="P180" s="1" t="s">
        <v>13</v>
      </c>
      <c r="Q180" s="51"/>
      <c r="R180" s="53"/>
      <c r="S180" s="51"/>
      <c r="T180" s="51"/>
      <c r="U180" s="51"/>
      <c r="V180" s="51"/>
      <c r="W180" s="51"/>
    </row>
    <row r="181" spans="1:26" ht="27" customHeight="1" x14ac:dyDescent="0.2">
      <c r="A181" s="218"/>
      <c r="B181" s="218"/>
      <c r="C181" s="216" t="s">
        <v>99</v>
      </c>
      <c r="D181" s="216"/>
      <c r="E181" s="96">
        <v>0</v>
      </c>
      <c r="F181" s="96">
        <v>0</v>
      </c>
      <c r="G181" s="96">
        <v>0</v>
      </c>
      <c r="H181" s="96">
        <v>0</v>
      </c>
      <c r="I181" s="96">
        <v>0</v>
      </c>
      <c r="J181" s="96">
        <v>0</v>
      </c>
      <c r="K181" s="96">
        <v>0</v>
      </c>
      <c r="L181" s="1" t="s">
        <v>13</v>
      </c>
      <c r="M181" s="1" t="s">
        <v>13</v>
      </c>
      <c r="N181" s="1" t="s">
        <v>13</v>
      </c>
      <c r="O181" s="1" t="s">
        <v>13</v>
      </c>
      <c r="P181" s="1" t="s">
        <v>13</v>
      </c>
      <c r="Q181" s="51"/>
      <c r="R181" s="53"/>
      <c r="S181" s="51"/>
      <c r="T181" s="51"/>
      <c r="U181" s="51"/>
      <c r="V181" s="51"/>
      <c r="W181" s="51"/>
    </row>
    <row r="182" spans="1:26" ht="28.5" customHeight="1" x14ac:dyDescent="0.2">
      <c r="A182" s="218"/>
      <c r="B182" s="218"/>
      <c r="C182" s="216" t="s">
        <v>104</v>
      </c>
      <c r="D182" s="216"/>
      <c r="E182" s="96">
        <v>0</v>
      </c>
      <c r="F182" s="96">
        <v>0</v>
      </c>
      <c r="G182" s="96">
        <v>0</v>
      </c>
      <c r="H182" s="96">
        <v>0</v>
      </c>
      <c r="I182" s="96">
        <v>0</v>
      </c>
      <c r="J182" s="96">
        <v>0</v>
      </c>
      <c r="K182" s="96">
        <v>0</v>
      </c>
      <c r="L182" s="1" t="s">
        <v>13</v>
      </c>
      <c r="M182" s="1" t="s">
        <v>13</v>
      </c>
      <c r="N182" s="1" t="s">
        <v>13</v>
      </c>
      <c r="O182" s="1" t="s">
        <v>13</v>
      </c>
      <c r="P182" s="1" t="s">
        <v>13</v>
      </c>
      <c r="Q182" s="51"/>
      <c r="R182" s="53"/>
      <c r="S182" s="51"/>
      <c r="T182" s="51"/>
      <c r="U182" s="51"/>
      <c r="V182" s="51"/>
      <c r="W182" s="51"/>
    </row>
    <row r="183" spans="1:26" ht="18" customHeight="1" x14ac:dyDescent="0.2">
      <c r="A183" s="218"/>
      <c r="B183" s="218"/>
      <c r="C183" s="216" t="s">
        <v>105</v>
      </c>
      <c r="D183" s="216"/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96">
        <v>0</v>
      </c>
      <c r="K183" s="96">
        <v>0</v>
      </c>
      <c r="L183" s="1" t="s">
        <v>13</v>
      </c>
      <c r="M183" s="1" t="s">
        <v>13</v>
      </c>
      <c r="N183" s="1" t="s">
        <v>13</v>
      </c>
      <c r="O183" s="1" t="s">
        <v>13</v>
      </c>
      <c r="P183" s="1" t="s">
        <v>13</v>
      </c>
      <c r="Q183" s="51"/>
      <c r="R183" s="53"/>
      <c r="S183" s="51"/>
      <c r="T183" s="51"/>
      <c r="U183" s="51"/>
      <c r="V183" s="51"/>
      <c r="W183" s="51"/>
    </row>
    <row r="184" spans="1:26" ht="16.5" customHeight="1" x14ac:dyDescent="0.2">
      <c r="A184" s="159" t="s">
        <v>188</v>
      </c>
      <c r="B184" s="159" t="s">
        <v>219</v>
      </c>
      <c r="C184" s="216" t="s">
        <v>102</v>
      </c>
      <c r="D184" s="216"/>
      <c r="E184" s="96">
        <v>0</v>
      </c>
      <c r="F184" s="96">
        <v>0</v>
      </c>
      <c r="G184" s="96">
        <v>0</v>
      </c>
      <c r="H184" s="96">
        <v>81603.14</v>
      </c>
      <c r="I184" s="96">
        <v>0</v>
      </c>
      <c r="J184" s="96">
        <v>0</v>
      </c>
      <c r="K184" s="96">
        <v>0</v>
      </c>
      <c r="L184" s="1" t="s">
        <v>13</v>
      </c>
      <c r="M184" s="1" t="s">
        <v>13</v>
      </c>
      <c r="N184" s="1" t="s">
        <v>13</v>
      </c>
      <c r="O184" s="1" t="s">
        <v>13</v>
      </c>
      <c r="P184" s="1" t="s">
        <v>13</v>
      </c>
      <c r="Q184" s="51"/>
      <c r="R184" s="53"/>
      <c r="S184" s="51"/>
      <c r="T184" s="51"/>
      <c r="U184" s="51"/>
      <c r="V184" s="51"/>
      <c r="W184" s="51"/>
    </row>
    <row r="185" spans="1:26" ht="42.75" customHeight="1" x14ac:dyDescent="0.2">
      <c r="A185" s="159"/>
      <c r="B185" s="159"/>
      <c r="C185" s="216" t="s">
        <v>96</v>
      </c>
      <c r="D185" s="89" t="s">
        <v>124</v>
      </c>
      <c r="E185" s="96">
        <v>0</v>
      </c>
      <c r="F185" s="96">
        <v>0</v>
      </c>
      <c r="G185" s="96">
        <v>0</v>
      </c>
      <c r="H185" s="96">
        <v>24480.94</v>
      </c>
      <c r="I185" s="96">
        <v>0</v>
      </c>
      <c r="J185" s="96">
        <v>0</v>
      </c>
      <c r="K185" s="96">
        <v>0</v>
      </c>
      <c r="L185" s="1" t="s">
        <v>13</v>
      </c>
      <c r="M185" s="1" t="s">
        <v>13</v>
      </c>
      <c r="N185" s="1" t="s">
        <v>13</v>
      </c>
      <c r="O185" s="1" t="s">
        <v>13</v>
      </c>
      <c r="P185" s="1" t="s">
        <v>13</v>
      </c>
      <c r="Q185" s="51"/>
      <c r="R185" s="53"/>
      <c r="S185" s="51"/>
      <c r="T185" s="51"/>
      <c r="U185" s="51"/>
      <c r="V185" s="51"/>
      <c r="W185" s="51"/>
    </row>
    <row r="186" spans="1:26" ht="42.75" customHeight="1" x14ac:dyDescent="0.2">
      <c r="A186" s="159"/>
      <c r="B186" s="159"/>
      <c r="C186" s="216"/>
      <c r="D186" s="89" t="s">
        <v>125</v>
      </c>
      <c r="E186" s="96">
        <v>0</v>
      </c>
      <c r="F186" s="96">
        <v>0</v>
      </c>
      <c r="G186" s="96">
        <v>0</v>
      </c>
      <c r="H186" s="96">
        <v>57122.2</v>
      </c>
      <c r="I186" s="96">
        <v>0</v>
      </c>
      <c r="J186" s="96">
        <v>0</v>
      </c>
      <c r="K186" s="96">
        <v>0</v>
      </c>
      <c r="L186" s="1" t="s">
        <v>13</v>
      </c>
      <c r="M186" s="1" t="s">
        <v>13</v>
      </c>
      <c r="N186" s="1" t="s">
        <v>13</v>
      </c>
      <c r="O186" s="1" t="s">
        <v>13</v>
      </c>
      <c r="P186" s="1" t="s">
        <v>13</v>
      </c>
      <c r="Q186" s="51"/>
      <c r="R186" s="53"/>
      <c r="S186" s="51"/>
      <c r="T186" s="51"/>
      <c r="U186" s="51"/>
      <c r="V186" s="51"/>
      <c r="W186" s="51"/>
    </row>
    <row r="187" spans="1:26" ht="54.75" customHeight="1" x14ac:dyDescent="0.2">
      <c r="A187" s="159"/>
      <c r="B187" s="159"/>
      <c r="C187" s="216"/>
      <c r="D187" s="89" t="s">
        <v>126</v>
      </c>
      <c r="E187" s="96">
        <v>0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6">
        <v>0</v>
      </c>
      <c r="L187" s="1" t="s">
        <v>13</v>
      </c>
      <c r="M187" s="1" t="s">
        <v>13</v>
      </c>
      <c r="N187" s="1" t="s">
        <v>13</v>
      </c>
      <c r="O187" s="1" t="s">
        <v>13</v>
      </c>
      <c r="P187" s="1" t="s">
        <v>13</v>
      </c>
      <c r="Q187" s="51"/>
      <c r="R187" s="53"/>
      <c r="S187" s="51"/>
      <c r="T187" s="51"/>
      <c r="U187" s="51"/>
      <c r="V187" s="51"/>
      <c r="W187" s="51"/>
    </row>
    <row r="188" spans="1:26" ht="16.5" customHeight="1" x14ac:dyDescent="0.2">
      <c r="A188" s="159"/>
      <c r="B188" s="159"/>
      <c r="C188" s="216" t="s">
        <v>103</v>
      </c>
      <c r="D188" s="216"/>
      <c r="E188" s="96">
        <v>0</v>
      </c>
      <c r="F188" s="96">
        <v>0</v>
      </c>
      <c r="G188" s="96">
        <v>0</v>
      </c>
      <c r="H188" s="96">
        <v>0</v>
      </c>
      <c r="I188" s="96">
        <v>0</v>
      </c>
      <c r="J188" s="96">
        <v>0</v>
      </c>
      <c r="K188" s="96">
        <v>0</v>
      </c>
      <c r="L188" s="1" t="s">
        <v>13</v>
      </c>
      <c r="M188" s="1" t="s">
        <v>13</v>
      </c>
      <c r="N188" s="1" t="s">
        <v>13</v>
      </c>
      <c r="O188" s="1" t="s">
        <v>13</v>
      </c>
      <c r="P188" s="1" t="s">
        <v>13</v>
      </c>
      <c r="Q188" s="51"/>
      <c r="R188" s="53"/>
      <c r="S188" s="51"/>
      <c r="T188" s="51"/>
      <c r="U188" s="51"/>
      <c r="V188" s="51"/>
      <c r="W188" s="51"/>
    </row>
    <row r="189" spans="1:26" ht="27" customHeight="1" x14ac:dyDescent="0.2">
      <c r="A189" s="159"/>
      <c r="B189" s="159"/>
      <c r="C189" s="216" t="s">
        <v>99</v>
      </c>
      <c r="D189" s="216"/>
      <c r="E189" s="96">
        <v>0</v>
      </c>
      <c r="F189" s="96">
        <v>0</v>
      </c>
      <c r="G189" s="96">
        <v>0</v>
      </c>
      <c r="H189" s="96">
        <v>0</v>
      </c>
      <c r="I189" s="96">
        <v>0</v>
      </c>
      <c r="J189" s="96">
        <v>0</v>
      </c>
      <c r="K189" s="96">
        <v>0</v>
      </c>
      <c r="L189" s="1" t="s">
        <v>13</v>
      </c>
      <c r="M189" s="1" t="s">
        <v>13</v>
      </c>
      <c r="N189" s="1" t="s">
        <v>13</v>
      </c>
      <c r="O189" s="1" t="s">
        <v>13</v>
      </c>
      <c r="P189" s="1" t="s">
        <v>13</v>
      </c>
      <c r="Q189" s="51"/>
      <c r="R189" s="53"/>
      <c r="S189" s="51"/>
      <c r="T189" s="51"/>
      <c r="U189" s="51"/>
      <c r="V189" s="51"/>
      <c r="W189" s="51"/>
    </row>
    <row r="190" spans="1:26" ht="27.75" customHeight="1" x14ac:dyDescent="0.2">
      <c r="A190" s="159"/>
      <c r="B190" s="159"/>
      <c r="C190" s="216" t="s">
        <v>104</v>
      </c>
      <c r="D190" s="216"/>
      <c r="E190" s="96">
        <v>0</v>
      </c>
      <c r="F190" s="96">
        <v>0</v>
      </c>
      <c r="G190" s="96">
        <v>0</v>
      </c>
      <c r="H190" s="96">
        <v>0</v>
      </c>
      <c r="I190" s="96">
        <v>0</v>
      </c>
      <c r="J190" s="96">
        <v>0</v>
      </c>
      <c r="K190" s="96">
        <v>0</v>
      </c>
      <c r="L190" s="1" t="s">
        <v>13</v>
      </c>
      <c r="M190" s="1" t="s">
        <v>13</v>
      </c>
      <c r="N190" s="1" t="s">
        <v>13</v>
      </c>
      <c r="O190" s="1" t="s">
        <v>13</v>
      </c>
      <c r="P190" s="1" t="s">
        <v>13</v>
      </c>
      <c r="Q190" s="51"/>
      <c r="R190" s="53"/>
      <c r="S190" s="51"/>
      <c r="T190" s="51"/>
      <c r="U190" s="51"/>
      <c r="V190" s="51"/>
      <c r="W190" s="51"/>
    </row>
    <row r="191" spans="1:26" ht="16.5" customHeight="1" x14ac:dyDescent="0.2">
      <c r="A191" s="159"/>
      <c r="B191" s="159"/>
      <c r="C191" s="216" t="s">
        <v>105</v>
      </c>
      <c r="D191" s="216"/>
      <c r="E191" s="96">
        <v>0</v>
      </c>
      <c r="F191" s="96">
        <v>0</v>
      </c>
      <c r="G191" s="96">
        <v>0</v>
      </c>
      <c r="H191" s="96">
        <v>0</v>
      </c>
      <c r="I191" s="96">
        <v>0</v>
      </c>
      <c r="J191" s="96">
        <v>0</v>
      </c>
      <c r="K191" s="96">
        <v>0</v>
      </c>
      <c r="L191" s="1" t="s">
        <v>13</v>
      </c>
      <c r="M191" s="1" t="s">
        <v>13</v>
      </c>
      <c r="N191" s="1" t="s">
        <v>13</v>
      </c>
      <c r="O191" s="1" t="s">
        <v>13</v>
      </c>
      <c r="P191" s="1" t="s">
        <v>13</v>
      </c>
      <c r="Q191" s="51"/>
      <c r="R191" s="53"/>
      <c r="S191" s="51"/>
      <c r="T191" s="51"/>
      <c r="U191" s="51"/>
      <c r="V191" s="51"/>
      <c r="W191" s="51"/>
    </row>
    <row r="192" spans="1:26" ht="15.75" customHeight="1" x14ac:dyDescent="0.2">
      <c r="A192" s="248" t="s">
        <v>136</v>
      </c>
      <c r="B192" s="219" t="s">
        <v>222</v>
      </c>
      <c r="C192" s="216" t="s">
        <v>102</v>
      </c>
      <c r="D192" s="216"/>
      <c r="E192" s="96">
        <v>0</v>
      </c>
      <c r="F192" s="96">
        <v>0</v>
      </c>
      <c r="G192" s="96">
        <v>86851.099999999991</v>
      </c>
      <c r="H192" s="96">
        <v>93857.4</v>
      </c>
      <c r="I192" s="103">
        <v>96266.1</v>
      </c>
      <c r="J192" s="103">
        <v>78408.2</v>
      </c>
      <c r="K192" s="103">
        <v>78623.3</v>
      </c>
      <c r="L192" s="1" t="s">
        <v>13</v>
      </c>
      <c r="M192" s="1" t="s">
        <v>13</v>
      </c>
      <c r="N192" s="1" t="s">
        <v>13</v>
      </c>
      <c r="O192" s="1" t="s">
        <v>13</v>
      </c>
      <c r="P192" s="1" t="s">
        <v>13</v>
      </c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5" ht="40.5" customHeight="1" x14ac:dyDescent="0.2">
      <c r="A193" s="248"/>
      <c r="B193" s="219"/>
      <c r="C193" s="216" t="s">
        <v>96</v>
      </c>
      <c r="D193" s="89" t="s">
        <v>124</v>
      </c>
      <c r="E193" s="96">
        <v>0</v>
      </c>
      <c r="F193" s="96">
        <v>0</v>
      </c>
      <c r="G193" s="96">
        <v>81997.2</v>
      </c>
      <c r="H193" s="96">
        <v>88446.9</v>
      </c>
      <c r="I193" s="103">
        <f>'[2]Приложение 4'!L124+'[2]Приложение 4'!L126</f>
        <v>90847.2</v>
      </c>
      <c r="J193" s="103">
        <v>72716.800000000003</v>
      </c>
      <c r="K193" s="103">
        <v>72716.800000000003</v>
      </c>
      <c r="L193" s="1" t="s">
        <v>13</v>
      </c>
      <c r="M193" s="1" t="s">
        <v>13</v>
      </c>
      <c r="N193" s="1" t="s">
        <v>13</v>
      </c>
      <c r="O193" s="1" t="s">
        <v>13</v>
      </c>
      <c r="P193" s="1" t="s">
        <v>13</v>
      </c>
      <c r="Q193" s="54"/>
      <c r="R193" s="54"/>
      <c r="S193" s="54"/>
      <c r="T193" s="54"/>
      <c r="U193" s="54"/>
      <c r="V193" s="54"/>
      <c r="W193" s="54"/>
      <c r="X193" s="54"/>
      <c r="Y193" s="54"/>
    </row>
    <row r="194" spans="1:25" ht="39.75" customHeight="1" x14ac:dyDescent="0.2">
      <c r="A194" s="248"/>
      <c r="B194" s="219"/>
      <c r="C194" s="216"/>
      <c r="D194" s="89" t="s">
        <v>125</v>
      </c>
      <c r="E194" s="96">
        <v>0</v>
      </c>
      <c r="F194" s="96">
        <v>0</v>
      </c>
      <c r="G194" s="96">
        <v>4853.9000000000005</v>
      </c>
      <c r="H194" s="96">
        <v>5410.5</v>
      </c>
      <c r="I194" s="103">
        <f>'[2]Приложение 4'!L125</f>
        <v>5418.9</v>
      </c>
      <c r="J194" s="103">
        <v>5691.4</v>
      </c>
      <c r="K194" s="103">
        <v>5906.5</v>
      </c>
      <c r="L194" s="1" t="s">
        <v>13</v>
      </c>
      <c r="M194" s="1" t="s">
        <v>13</v>
      </c>
      <c r="N194" s="1" t="s">
        <v>13</v>
      </c>
      <c r="O194" s="1" t="s">
        <v>13</v>
      </c>
      <c r="P194" s="1" t="s">
        <v>13</v>
      </c>
      <c r="R194" s="53"/>
    </row>
    <row r="195" spans="1:25" ht="54" customHeight="1" x14ac:dyDescent="0.2">
      <c r="A195" s="248"/>
      <c r="B195" s="219"/>
      <c r="C195" s="216"/>
      <c r="D195" s="89" t="s">
        <v>126</v>
      </c>
      <c r="E195" s="96">
        <v>0</v>
      </c>
      <c r="F195" s="96">
        <v>0</v>
      </c>
      <c r="G195" s="96">
        <v>0</v>
      </c>
      <c r="H195" s="96">
        <v>0</v>
      </c>
      <c r="I195" s="103">
        <v>0</v>
      </c>
      <c r="J195" s="103">
        <v>0</v>
      </c>
      <c r="K195" s="103">
        <v>0</v>
      </c>
      <c r="L195" s="1" t="s">
        <v>13</v>
      </c>
      <c r="M195" s="1" t="s">
        <v>13</v>
      </c>
      <c r="N195" s="1" t="s">
        <v>13</v>
      </c>
      <c r="O195" s="1" t="s">
        <v>13</v>
      </c>
      <c r="P195" s="1" t="s">
        <v>13</v>
      </c>
      <c r="R195" s="53"/>
    </row>
    <row r="196" spans="1:25" ht="12.75" customHeight="1" x14ac:dyDescent="0.2">
      <c r="A196" s="248"/>
      <c r="B196" s="219"/>
      <c r="C196" s="216" t="s">
        <v>103</v>
      </c>
      <c r="D196" s="216"/>
      <c r="E196" s="96">
        <v>0</v>
      </c>
      <c r="F196" s="96">
        <v>0</v>
      </c>
      <c r="G196" s="96">
        <v>0</v>
      </c>
      <c r="H196" s="96">
        <v>0</v>
      </c>
      <c r="I196" s="103">
        <v>0</v>
      </c>
      <c r="J196" s="103">
        <v>0</v>
      </c>
      <c r="K196" s="103">
        <v>0</v>
      </c>
      <c r="L196" s="1" t="s">
        <v>13</v>
      </c>
      <c r="M196" s="1" t="s">
        <v>13</v>
      </c>
      <c r="N196" s="1" t="s">
        <v>13</v>
      </c>
      <c r="O196" s="1" t="s">
        <v>13</v>
      </c>
      <c r="P196" s="1" t="s">
        <v>13</v>
      </c>
      <c r="R196" s="53"/>
    </row>
    <row r="197" spans="1:25" x14ac:dyDescent="0.2">
      <c r="A197" s="248"/>
      <c r="B197" s="219"/>
      <c r="C197" s="216" t="s">
        <v>99</v>
      </c>
      <c r="D197" s="216"/>
      <c r="E197" s="96">
        <v>0</v>
      </c>
      <c r="F197" s="96">
        <v>0</v>
      </c>
      <c r="G197" s="96">
        <v>0</v>
      </c>
      <c r="H197" s="96">
        <v>0</v>
      </c>
      <c r="I197" s="103">
        <v>0</v>
      </c>
      <c r="J197" s="103">
        <v>0</v>
      </c>
      <c r="K197" s="103">
        <v>0</v>
      </c>
      <c r="L197" s="1" t="s">
        <v>13</v>
      </c>
      <c r="M197" s="1" t="s">
        <v>13</v>
      </c>
      <c r="N197" s="1" t="s">
        <v>13</v>
      </c>
      <c r="O197" s="1" t="s">
        <v>13</v>
      </c>
      <c r="P197" s="1" t="s">
        <v>13</v>
      </c>
      <c r="R197" s="53"/>
    </row>
    <row r="198" spans="1:25" x14ac:dyDescent="0.2">
      <c r="A198" s="248"/>
      <c r="B198" s="219"/>
      <c r="C198" s="216" t="s">
        <v>104</v>
      </c>
      <c r="D198" s="216"/>
      <c r="E198" s="96">
        <v>0</v>
      </c>
      <c r="F198" s="96">
        <v>0</v>
      </c>
      <c r="G198" s="96">
        <v>0</v>
      </c>
      <c r="H198" s="96">
        <v>0</v>
      </c>
      <c r="I198" s="103">
        <v>0</v>
      </c>
      <c r="J198" s="103">
        <v>0</v>
      </c>
      <c r="K198" s="103">
        <v>0</v>
      </c>
      <c r="L198" s="1" t="s">
        <v>13</v>
      </c>
      <c r="M198" s="1" t="s">
        <v>13</v>
      </c>
      <c r="N198" s="1" t="s">
        <v>13</v>
      </c>
      <c r="O198" s="1" t="s">
        <v>13</v>
      </c>
      <c r="P198" s="1" t="s">
        <v>13</v>
      </c>
      <c r="R198" s="53"/>
    </row>
    <row r="199" spans="1:25" x14ac:dyDescent="0.2">
      <c r="A199" s="248"/>
      <c r="B199" s="219"/>
      <c r="C199" s="216" t="s">
        <v>105</v>
      </c>
      <c r="D199" s="216"/>
      <c r="E199" s="96">
        <v>0</v>
      </c>
      <c r="F199" s="96">
        <v>0</v>
      </c>
      <c r="G199" s="96">
        <v>0</v>
      </c>
      <c r="H199" s="96">
        <v>0</v>
      </c>
      <c r="I199" s="103">
        <v>0</v>
      </c>
      <c r="J199" s="103">
        <v>0</v>
      </c>
      <c r="K199" s="103">
        <v>0</v>
      </c>
      <c r="L199" s="1" t="s">
        <v>13</v>
      </c>
      <c r="M199" s="1" t="s">
        <v>13</v>
      </c>
      <c r="N199" s="1" t="s">
        <v>13</v>
      </c>
      <c r="O199" s="1" t="s">
        <v>13</v>
      </c>
      <c r="P199" s="1" t="s">
        <v>13</v>
      </c>
      <c r="R199" s="53"/>
    </row>
    <row r="200" spans="1:25" ht="18.75" x14ac:dyDescent="0.2">
      <c r="A200" s="71"/>
      <c r="B200" s="55"/>
      <c r="C200" s="56"/>
      <c r="D200" s="56"/>
      <c r="E200" s="104"/>
      <c r="F200" s="104"/>
      <c r="G200" s="104"/>
      <c r="H200" s="104"/>
      <c r="I200" s="105"/>
      <c r="J200" s="105"/>
      <c r="K200" s="105"/>
      <c r="L200" s="105"/>
      <c r="M200" s="105"/>
      <c r="N200" s="105"/>
      <c r="O200" s="105"/>
      <c r="P200" s="153" t="s">
        <v>195</v>
      </c>
      <c r="R200" s="53"/>
    </row>
    <row r="201" spans="1:25" ht="15.75" customHeight="1" x14ac:dyDescent="0.2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R201" s="53"/>
    </row>
    <row r="202" spans="1:25" ht="15.75" x14ac:dyDescent="0.2">
      <c r="A202" s="87"/>
      <c r="B202" s="86"/>
      <c r="C202" s="57"/>
      <c r="D202" s="57"/>
      <c r="E202" s="106"/>
      <c r="F202" s="106"/>
      <c r="G202" s="106"/>
      <c r="H202" s="106"/>
      <c r="I202" s="107"/>
      <c r="J202" s="107"/>
      <c r="K202" s="107"/>
      <c r="L202" s="107"/>
      <c r="M202" s="107"/>
      <c r="N202" s="107"/>
      <c r="O202" s="107"/>
      <c r="R202" s="53"/>
    </row>
    <row r="203" spans="1:25" ht="27.75" x14ac:dyDescent="0.2">
      <c r="A203" s="146"/>
      <c r="B203" s="149" t="s">
        <v>224</v>
      </c>
      <c r="C203" s="150"/>
      <c r="D203" s="150"/>
      <c r="E203" s="151"/>
      <c r="F203" s="151"/>
      <c r="G203" s="151"/>
      <c r="H203" s="151"/>
      <c r="I203" s="152"/>
      <c r="J203" s="152"/>
      <c r="K203" s="152"/>
      <c r="L203" s="145"/>
      <c r="M203" s="147"/>
      <c r="N203" s="147"/>
      <c r="O203" s="147"/>
      <c r="R203" s="53"/>
    </row>
    <row r="204" spans="1:25" ht="27.75" x14ac:dyDescent="0.2">
      <c r="A204" s="146"/>
      <c r="B204" s="149"/>
      <c r="C204" s="150"/>
      <c r="D204" s="150"/>
      <c r="E204" s="151"/>
      <c r="F204" s="151"/>
      <c r="G204" s="151"/>
      <c r="H204" s="151"/>
      <c r="I204" s="152"/>
      <c r="J204" s="152"/>
      <c r="K204" s="152"/>
      <c r="L204" s="145"/>
      <c r="M204" s="147"/>
      <c r="N204" s="147"/>
      <c r="O204" s="147"/>
      <c r="R204" s="53"/>
    </row>
    <row r="205" spans="1:25" ht="27.75" x14ac:dyDescent="0.2">
      <c r="A205" s="146"/>
      <c r="B205" s="149"/>
      <c r="C205" s="150"/>
      <c r="D205" s="150"/>
      <c r="E205" s="151"/>
      <c r="F205" s="151"/>
      <c r="G205" s="151"/>
      <c r="H205" s="151"/>
      <c r="I205" s="152"/>
      <c r="J205" s="152"/>
      <c r="K205" s="152"/>
      <c r="L205" s="145"/>
      <c r="M205" s="147"/>
      <c r="N205" s="147"/>
      <c r="O205" s="147"/>
      <c r="R205" s="53"/>
    </row>
    <row r="206" spans="1:25" ht="23.25" x14ac:dyDescent="0.2">
      <c r="A206" s="146"/>
      <c r="B206" s="148"/>
      <c r="C206" s="57"/>
      <c r="D206" s="57"/>
      <c r="E206" s="106"/>
      <c r="F206" s="106"/>
      <c r="G206" s="106"/>
      <c r="H206" s="106"/>
      <c r="I206" s="145"/>
      <c r="J206" s="145"/>
      <c r="K206" s="145"/>
      <c r="L206" s="145"/>
      <c r="M206" s="147"/>
      <c r="N206" s="147"/>
      <c r="O206" s="147"/>
      <c r="R206" s="53"/>
    </row>
    <row r="207" spans="1:25" ht="23.25" x14ac:dyDescent="0.2">
      <c r="A207" s="146"/>
      <c r="B207" s="148"/>
      <c r="C207" s="57"/>
      <c r="D207" s="57"/>
      <c r="E207" s="106"/>
      <c r="F207" s="106"/>
      <c r="G207" s="106"/>
      <c r="H207" s="106"/>
      <c r="I207" s="145"/>
      <c r="J207" s="145"/>
      <c r="K207" s="145"/>
      <c r="L207" s="145"/>
      <c r="M207" s="147"/>
      <c r="N207" s="147"/>
      <c r="O207" s="147"/>
      <c r="R207" s="53"/>
    </row>
    <row r="208" spans="1:25" ht="15" x14ac:dyDescent="0.2">
      <c r="A208" s="72"/>
      <c r="B208" s="72"/>
      <c r="C208" s="58"/>
      <c r="D208" s="5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1:16" ht="15" x14ac:dyDescent="0.2">
      <c r="A209" s="72"/>
      <c r="B209" s="72"/>
      <c r="C209" s="58"/>
      <c r="D209" s="5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1:16" ht="15" x14ac:dyDescent="0.2">
      <c r="A210" s="72"/>
      <c r="B210" s="72"/>
      <c r="C210" s="58"/>
      <c r="D210" s="5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1:16" ht="15" x14ac:dyDescent="0.2">
      <c r="A211" s="72"/>
      <c r="B211" s="72"/>
      <c r="C211" s="58"/>
      <c r="D211" s="5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1:16" ht="15.75" customHeight="1" x14ac:dyDescent="0.2">
      <c r="A212" s="214" t="s">
        <v>225</v>
      </c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</row>
    <row r="213" spans="1:16" ht="15.75" customHeight="1" x14ac:dyDescent="0.2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</row>
    <row r="214" spans="1:16" ht="15.75" customHeight="1" x14ac:dyDescent="0.2">
      <c r="A214" s="214"/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</row>
    <row r="215" spans="1:16" ht="20.25" customHeight="1" x14ac:dyDescent="0.2">
      <c r="A215" s="215"/>
      <c r="B215" s="215"/>
      <c r="C215" s="59"/>
      <c r="D215" s="5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1:16" ht="23.25" x14ac:dyDescent="0.35">
      <c r="A216" s="73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</row>
  </sheetData>
  <mergeCells count="205">
    <mergeCell ref="A32:A39"/>
    <mergeCell ref="B32:B39"/>
    <mergeCell ref="C33:C35"/>
    <mergeCell ref="A56:A63"/>
    <mergeCell ref="B56:B63"/>
    <mergeCell ref="C56:D56"/>
    <mergeCell ref="C57:C59"/>
    <mergeCell ref="C60:D60"/>
    <mergeCell ref="C61:D61"/>
    <mergeCell ref="C62:D62"/>
    <mergeCell ref="C63:D63"/>
    <mergeCell ref="C32:D32"/>
    <mergeCell ref="C36:D36"/>
    <mergeCell ref="C37:D37"/>
    <mergeCell ref="C38:D38"/>
    <mergeCell ref="C39:D39"/>
    <mergeCell ref="C55:D55"/>
    <mergeCell ref="A40:A47"/>
    <mergeCell ref="B40:B47"/>
    <mergeCell ref="C40:D40"/>
    <mergeCell ref="C41:C43"/>
    <mergeCell ref="C44:D44"/>
    <mergeCell ref="C45:D45"/>
    <mergeCell ref="C46:D46"/>
    <mergeCell ref="C197:D197"/>
    <mergeCell ref="C198:D198"/>
    <mergeCell ref="C199:D199"/>
    <mergeCell ref="A192:A199"/>
    <mergeCell ref="B192:B199"/>
    <mergeCell ref="C192:D192"/>
    <mergeCell ref="C193:C195"/>
    <mergeCell ref="C196:D196"/>
    <mergeCell ref="A201:O201"/>
    <mergeCell ref="C17:C19"/>
    <mergeCell ref="C20:D20"/>
    <mergeCell ref="C21:D21"/>
    <mergeCell ref="C22:D22"/>
    <mergeCell ref="C23:D23"/>
    <mergeCell ref="A16:A23"/>
    <mergeCell ref="B16:B23"/>
    <mergeCell ref="C16:D16"/>
    <mergeCell ref="A24:A31"/>
    <mergeCell ref="B24:B31"/>
    <mergeCell ref="C24:D24"/>
    <mergeCell ref="C25:C27"/>
    <mergeCell ref="C28:D28"/>
    <mergeCell ref="C29:D29"/>
    <mergeCell ref="C30:D30"/>
    <mergeCell ref="C31:D31"/>
    <mergeCell ref="L1:O1"/>
    <mergeCell ref="C7:D7"/>
    <mergeCell ref="E5:P5"/>
    <mergeCell ref="A8:A15"/>
    <mergeCell ref="B8:B15"/>
    <mergeCell ref="C8:D8"/>
    <mergeCell ref="C9:C11"/>
    <mergeCell ref="C12:D12"/>
    <mergeCell ref="C13:D13"/>
    <mergeCell ref="C14:D14"/>
    <mergeCell ref="C15:D15"/>
    <mergeCell ref="A4:O4"/>
    <mergeCell ref="A5:A6"/>
    <mergeCell ref="B5:B6"/>
    <mergeCell ref="C5:D6"/>
    <mergeCell ref="A1:K1"/>
    <mergeCell ref="A2:P3"/>
    <mergeCell ref="A104:A111"/>
    <mergeCell ref="B104:B111"/>
    <mergeCell ref="C104:D104"/>
    <mergeCell ref="C105:C107"/>
    <mergeCell ref="C108:D108"/>
    <mergeCell ref="C109:D109"/>
    <mergeCell ref="C110:D110"/>
    <mergeCell ref="C111:D111"/>
    <mergeCell ref="C47:D47"/>
    <mergeCell ref="C65:C67"/>
    <mergeCell ref="C68:D68"/>
    <mergeCell ref="A48:A55"/>
    <mergeCell ref="B48:B55"/>
    <mergeCell ref="C48:D48"/>
    <mergeCell ref="C49:C51"/>
    <mergeCell ref="C52:D52"/>
    <mergeCell ref="C53:D53"/>
    <mergeCell ref="C54:D54"/>
    <mergeCell ref="C64:D64"/>
    <mergeCell ref="B88:B95"/>
    <mergeCell ref="C88:D88"/>
    <mergeCell ref="C89:C91"/>
    <mergeCell ref="C92:D92"/>
    <mergeCell ref="C93:D93"/>
    <mergeCell ref="A128:A135"/>
    <mergeCell ref="B128:B135"/>
    <mergeCell ref="A112:A119"/>
    <mergeCell ref="C112:D112"/>
    <mergeCell ref="C113:C115"/>
    <mergeCell ref="C116:D116"/>
    <mergeCell ref="C117:D117"/>
    <mergeCell ref="C118:D118"/>
    <mergeCell ref="C119:D119"/>
    <mergeCell ref="C136:D136"/>
    <mergeCell ref="C137:C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A96:A103"/>
    <mergeCell ref="B96:B103"/>
    <mergeCell ref="C181:D181"/>
    <mergeCell ref="C182:D182"/>
    <mergeCell ref="C183:D183"/>
    <mergeCell ref="A176:A183"/>
    <mergeCell ref="C175:D175"/>
    <mergeCell ref="A168:A175"/>
    <mergeCell ref="B168:B175"/>
    <mergeCell ref="C168:D168"/>
    <mergeCell ref="C169:C171"/>
    <mergeCell ref="C172:D172"/>
    <mergeCell ref="C173:D173"/>
    <mergeCell ref="C174:D174"/>
    <mergeCell ref="A160:A167"/>
    <mergeCell ref="B160:B167"/>
    <mergeCell ref="C160:D160"/>
    <mergeCell ref="C161:C163"/>
    <mergeCell ref="C128:D128"/>
    <mergeCell ref="C129:C131"/>
    <mergeCell ref="C164:D164"/>
    <mergeCell ref="C165:D165"/>
    <mergeCell ref="C166:D166"/>
    <mergeCell ref="C167:D167"/>
    <mergeCell ref="C188:D188"/>
    <mergeCell ref="C189:D189"/>
    <mergeCell ref="C190:D190"/>
    <mergeCell ref="C191:D191"/>
    <mergeCell ref="A120:A127"/>
    <mergeCell ref="B120:B127"/>
    <mergeCell ref="C120:D120"/>
    <mergeCell ref="C78:D78"/>
    <mergeCell ref="C79:D79"/>
    <mergeCell ref="B80:B87"/>
    <mergeCell ref="C85:D85"/>
    <mergeCell ref="C86:D86"/>
    <mergeCell ref="C87:D87"/>
    <mergeCell ref="C153:C155"/>
    <mergeCell ref="C156:D156"/>
    <mergeCell ref="C157:D157"/>
    <mergeCell ref="C121:C123"/>
    <mergeCell ref="C124:D124"/>
    <mergeCell ref="C125:D125"/>
    <mergeCell ref="C126:D126"/>
    <mergeCell ref="C127:D127"/>
    <mergeCell ref="B112:B119"/>
    <mergeCell ref="A136:A143"/>
    <mergeCell ref="B136:B143"/>
    <mergeCell ref="C71:D71"/>
    <mergeCell ref="A88:A95"/>
    <mergeCell ref="B216:O216"/>
    <mergeCell ref="B176:B183"/>
    <mergeCell ref="C176:D176"/>
    <mergeCell ref="C177:C179"/>
    <mergeCell ref="C180:D180"/>
    <mergeCell ref="A144:A151"/>
    <mergeCell ref="B144:B151"/>
    <mergeCell ref="C144:D144"/>
    <mergeCell ref="C145:C147"/>
    <mergeCell ref="C148:D148"/>
    <mergeCell ref="C149:D149"/>
    <mergeCell ref="C150:D150"/>
    <mergeCell ref="C151:D151"/>
    <mergeCell ref="A152:A159"/>
    <mergeCell ref="B152:B159"/>
    <mergeCell ref="C152:D152"/>
    <mergeCell ref="C158:D158"/>
    <mergeCell ref="C159:D159"/>
    <mergeCell ref="A184:A191"/>
    <mergeCell ref="B184:B191"/>
    <mergeCell ref="C184:D184"/>
    <mergeCell ref="C185:C187"/>
    <mergeCell ref="A212:P214"/>
    <mergeCell ref="A215:B215"/>
    <mergeCell ref="C103:D103"/>
    <mergeCell ref="C96:D96"/>
    <mergeCell ref="C97:C99"/>
    <mergeCell ref="C69:D69"/>
    <mergeCell ref="C70:D70"/>
    <mergeCell ref="A80:A87"/>
    <mergeCell ref="A64:A71"/>
    <mergeCell ref="B64:B71"/>
    <mergeCell ref="C94:D94"/>
    <mergeCell ref="C95:D95"/>
    <mergeCell ref="C80:D80"/>
    <mergeCell ref="A72:A79"/>
    <mergeCell ref="B72:B79"/>
    <mergeCell ref="C72:D72"/>
    <mergeCell ref="C73:C75"/>
    <mergeCell ref="C76:D76"/>
    <mergeCell ref="C102:D102"/>
    <mergeCell ref="C77:D77"/>
    <mergeCell ref="C100:D100"/>
    <mergeCell ref="C101:D101"/>
    <mergeCell ref="C81:C83"/>
    <mergeCell ref="C84:D84"/>
  </mergeCells>
  <pageMargins left="0.19685039370078741" right="0.27559055118110237" top="0.59055118110236227" bottom="0.27559055118110237" header="0.19685039370078741" footer="0.19685039370078741"/>
  <pageSetup paperSize="9" scale="56" fitToHeight="0" orientation="landscape" r:id="rId1"/>
  <headerFooter alignWithMargins="0">
    <oddFooter>&amp;R&amp;P</oddFooter>
  </headerFooter>
  <rowBreaks count="6" manualBreakCount="6">
    <brk id="31" max="15" man="1"/>
    <brk id="63" max="15" man="1"/>
    <brk id="95" max="15" man="1"/>
    <brk id="127" max="15" man="1"/>
    <brk id="158" max="15" man="1"/>
    <brk id="19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4</vt:lpstr>
      <vt:lpstr>Приложение 4 </vt:lpstr>
      <vt:lpstr>Приложение 5</vt:lpstr>
      <vt:lpstr>'Приложение 4'!Заголовки_для_печати</vt:lpstr>
      <vt:lpstr>'Приложение 4 '!Заголовки_для_печати</vt:lpstr>
      <vt:lpstr>'Приложение 5'!Заголовки_для_печати</vt:lpstr>
      <vt:lpstr>'Приложение 4'!Область_печати</vt:lpstr>
      <vt:lpstr>'Приложение 4 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Н.В. Иванова</dc:creator>
  <cp:lastModifiedBy>typer2</cp:lastModifiedBy>
  <cp:lastPrinted>2018-06-14T06:54:53Z</cp:lastPrinted>
  <dcterms:created xsi:type="dcterms:W3CDTF">2015-10-07T12:43:04Z</dcterms:created>
  <dcterms:modified xsi:type="dcterms:W3CDTF">2018-06-14T06:55:56Z</dcterms:modified>
</cp:coreProperties>
</file>