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прил. 2" sheetId="1" r:id="rId1"/>
    <sheet name="прил. 3" sheetId="2" r:id="rId2"/>
    <sheet name="прил. 4" sheetId="3" r:id="rId3"/>
    <sheet name="прил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0">'прил. 2'!$A$1:$M$47</definedName>
    <definedName name="_xlnm.Print_Area" localSheetId="1">'прил. 3'!$A$1:$E$38</definedName>
    <definedName name="_xlnm.Print_Area" localSheetId="2">'прил. 4'!$A$1:$S$56</definedName>
  </definedNames>
  <calcPr fullCalcOnLoad="1"/>
</workbook>
</file>

<file path=xl/comments3.xml><?xml version="1.0" encoding="utf-8"?>
<comments xmlns="http://schemas.openxmlformats.org/spreadsheetml/2006/main">
  <authors>
    <author>odanilova</author>
  </authors>
  <commentList>
    <comment ref="D29" authorId="0">
      <text>
        <r>
          <rPr>
            <b/>
            <sz val="9"/>
            <rFont val="Tahoma"/>
            <family val="2"/>
          </rPr>
          <t>odanilova:</t>
        </r>
        <r>
          <rPr>
            <sz val="9"/>
            <rFont val="Tahoma"/>
            <family val="2"/>
          </rPr>
          <t xml:space="preserve">
переток из сетей ФСК в КЭ</t>
        </r>
      </text>
    </comment>
    <comment ref="C47" authorId="0">
      <text>
        <r>
          <rPr>
            <b/>
            <sz val="9"/>
            <rFont val="Tahoma"/>
            <family val="2"/>
          </rPr>
          <t>odanilova:</t>
        </r>
        <r>
          <rPr>
            <sz val="9"/>
            <rFont val="Tahoma"/>
            <family val="2"/>
          </rPr>
          <t xml:space="preserve">
эксп. заключение по Карелия-сети на 2017 год от 18.11.2016</t>
        </r>
      </text>
    </comment>
    <comment ref="C50" authorId="0">
      <text>
        <r>
          <rPr>
            <b/>
            <sz val="9"/>
            <rFont val="Tahoma"/>
            <family val="2"/>
          </rPr>
          <t>odanilova:</t>
        </r>
        <r>
          <rPr>
            <sz val="9"/>
            <rFont val="Tahoma"/>
            <family val="2"/>
          </rPr>
          <t xml:space="preserve">
протокол от 02.12.2016 № 158)</t>
        </r>
      </text>
    </comment>
    <comment ref="G29" authorId="0">
      <text>
        <r>
          <rPr>
            <b/>
            <sz val="9"/>
            <rFont val="Tahoma"/>
            <family val="2"/>
          </rPr>
          <t>odanilova:</t>
        </r>
        <r>
          <rPr>
            <sz val="9"/>
            <rFont val="Tahoma"/>
            <family val="2"/>
          </rPr>
          <t xml:space="preserve">
переток из сетей ФСК в КЭ</t>
        </r>
      </text>
    </comment>
    <comment ref="J29" authorId="0">
      <text>
        <r>
          <rPr>
            <b/>
            <sz val="9"/>
            <rFont val="Tahoma"/>
            <family val="2"/>
          </rPr>
          <t>odanilova:</t>
        </r>
        <r>
          <rPr>
            <sz val="9"/>
            <rFont val="Tahoma"/>
            <family val="2"/>
          </rPr>
          <t xml:space="preserve">
переток из сетей ФСК в КЭ</t>
        </r>
      </text>
    </comment>
  </commentList>
</comments>
</file>

<file path=xl/sharedStrings.xml><?xml version="1.0" encoding="utf-8"?>
<sst xmlns="http://schemas.openxmlformats.org/spreadsheetml/2006/main" count="230" uniqueCount="116">
  <si>
    <t>Показатели</t>
  </si>
  <si>
    <t>Прочие потребители</t>
  </si>
  <si>
    <t>Потребители, присоединенные к центру питания на генераторном напряжении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</si>
  <si>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</si>
  <si>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</si>
  <si>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сельских населенных пунктах</t>
  </si>
  <si>
    <t>Потребители, приравненные к населению, коэф.1</t>
  </si>
  <si>
    <t>Потребители, приравненные к населению, коэф.0,7</t>
  </si>
  <si>
    <t>Итого</t>
  </si>
  <si>
    <t>ВН1*</t>
  </si>
  <si>
    <t>ВН</t>
  </si>
  <si>
    <t>СН1</t>
  </si>
  <si>
    <t>СН2</t>
  </si>
  <si>
    <t>НН</t>
  </si>
  <si>
    <t>1 полугодие</t>
  </si>
  <si>
    <t>д.б. 1733,13</t>
  </si>
  <si>
    <t>Полезный отпуск электроэнергии, млн.кВтч</t>
  </si>
  <si>
    <t>х</t>
  </si>
  <si>
    <t>Заявленная мощность потребителей, МВт</t>
  </si>
  <si>
    <t>Ставка на содержание электрических сетей, руб./МВт в мес.</t>
  </si>
  <si>
    <t>Ставка на оплату  потерь, руб./МВтч</t>
  </si>
  <si>
    <t>Одноставочный тариф, руб./МВтч</t>
  </si>
  <si>
    <t>НВВ, тыс.руб.</t>
  </si>
  <si>
    <t>2 полугодие</t>
  </si>
  <si>
    <t>июль</t>
  </si>
  <si>
    <t>август-декабрь</t>
  </si>
  <si>
    <t>НВВ на содержание сетей на 2017 год, тыс.руб.</t>
  </si>
  <si>
    <t>Покупка потерь от:</t>
  </si>
  <si>
    <t>Потери, млн.кВтч</t>
  </si>
  <si>
    <t>Тариф покупки потерь, руб./Мвтч</t>
  </si>
  <si>
    <t>Затраты на покупку потерь, тыс. руб.</t>
  </si>
  <si>
    <t>Год</t>
  </si>
  <si>
    <t>1 пол. 2017</t>
  </si>
  <si>
    <t>авг.-сент. 17</t>
  </si>
  <si>
    <t>АО "ТНС энерго Карелия"</t>
  </si>
  <si>
    <t>ООО "Энергокомфорт". Карелия"</t>
  </si>
  <si>
    <t>-</t>
  </si>
  <si>
    <t>ПО 2 полугодие</t>
  </si>
  <si>
    <t>Объемные показатели, принятые для расчета индивидуальных тарифов на услуги по передаче электрической энергии для взаиморасчетов между сетевыми организациями на 2017 год</t>
  </si>
  <si>
    <t>№ п/п</t>
  </si>
  <si>
    <t>Наименование организации</t>
  </si>
  <si>
    <t>с 01.01.2017 по 30.06.2017</t>
  </si>
  <si>
    <t>с 01.07.2017 по 31.07.2017</t>
  </si>
  <si>
    <t>с 01.08.2017 по 31.12.2017</t>
  </si>
  <si>
    <t>НВВ на содержание сетей на 2017, год, тыс. руб.</t>
  </si>
  <si>
    <t>Тариф покупки потерьв 2017 году,  руб./МВтч</t>
  </si>
  <si>
    <t>Затраты на покупку потерь в 2017 году, тыс. руб.</t>
  </si>
  <si>
    <t>Присоединен. (заявленная) мощность сетевой организации, МВт</t>
  </si>
  <si>
    <t>Полезный отпуск электроэнергии конечным потребителям,                    млн. кВт.ч</t>
  </si>
  <si>
    <t>1.</t>
  </si>
  <si>
    <t>Филиал ПАО "МРСК Северо-Запада" "Карелэнерго" - АО "Прионежская сетевая компания"</t>
  </si>
  <si>
    <t>АО "Норд-Гидро"</t>
  </si>
  <si>
    <t>2.</t>
  </si>
  <si>
    <t>Филиал ПАО "МРСК Северо-Запада" "Карелэнерго" - АО "Петрозаводские коммунальные системы"</t>
  </si>
  <si>
    <t>3.</t>
  </si>
  <si>
    <t>Филиал ПАО "МРСК Северо-Запада" "Карелэнерго" - Структурное подразделение Трансэнерго - филиал ОАО  "РЖД" Октябрьской дирекции по энергообеспечению</t>
  </si>
  <si>
    <t>ООО "Русэнергосбыт"</t>
  </si>
  <si>
    <t>4.</t>
  </si>
  <si>
    <t>Филиал ПАО "МРСК Северо-Запада" "Карелэнерго" - Филиал "Северо-Западный" АО "Оборонэнерго"</t>
  </si>
  <si>
    <t>АО "Оборонэнергосбыт"</t>
  </si>
  <si>
    <t>5.</t>
  </si>
  <si>
    <t>Филиал ПАО "МРСК Северо-Запада" "Карелэнерго" - Филиал ПАО "ФСК ЕЭС" - Карельское ПМЭС</t>
  </si>
  <si>
    <t>6.</t>
  </si>
  <si>
    <t>Филиал ПАО "МРСК Северо-Запада" "Карелэнерго" - АО "Карельский окатыш"</t>
  </si>
  <si>
    <t>АО "Карельский окатыш"</t>
  </si>
  <si>
    <t>7.</t>
  </si>
  <si>
    <t>Филиал ПАО "МРСК Северо-Запада" "Карелэнерго" - ООО "РЭК"</t>
  </si>
  <si>
    <t>8.</t>
  </si>
  <si>
    <t xml:space="preserve">Филиал ПАО "МРСК Северо-Запада" "Карелэнерго" - ООО "СК Энерго" </t>
  </si>
  <si>
    <t>9.</t>
  </si>
  <si>
    <t>Филиал ПАО "МРСК Северо-Запада" "Карелэнерго" - ООО "ПСК Стройконструкция"</t>
  </si>
  <si>
    <t>10.</t>
  </si>
  <si>
    <t>Филиал ПАО "МРСК Северо-Запада" "Карелэнерго" - Филиал АО "АЭМ-технологии" "Петрозаводскмаш" в г. Петрозаводск</t>
  </si>
  <si>
    <t>Филиал АО "АЭМ-технологии" "Петрозаводскмаш" в г. Петрозаводск</t>
  </si>
  <si>
    <t>11.</t>
  </si>
  <si>
    <t>Филиал ПАО "МРСК Северо-Запада" "Карелэнерго" - ООО "Карелия-сети"</t>
  </si>
  <si>
    <t>12.</t>
  </si>
  <si>
    <t>Филиал ПАО "МРСК Северо-Запада" "Карелэнерго"  - ООО "Электросетевая компания. Карелия"</t>
  </si>
  <si>
    <t>13.</t>
  </si>
  <si>
    <t>АО "Прионежская сетевая компания"  -                             ООО "Охта Групп Онега"</t>
  </si>
  <si>
    <t>проверка</t>
  </si>
  <si>
    <t>схема перетоков</t>
  </si>
  <si>
    <t>Откл.</t>
  </si>
  <si>
    <t>ПО</t>
  </si>
  <si>
    <t>тнс</t>
  </si>
  <si>
    <t>энергокомфорт</t>
  </si>
  <si>
    <t>рус</t>
  </si>
  <si>
    <t>оборон</t>
  </si>
  <si>
    <t>нг</t>
  </si>
  <si>
    <t>карел. окатыш</t>
  </si>
  <si>
    <t>ПЗМ</t>
  </si>
  <si>
    <t>Индивидуальные тарифы на услуги по передаче электрической энергии для взаиморасчетов между сетевыми организациями Республики Карелия на 2017 год</t>
  </si>
  <si>
    <t>Двухставочный тариф</t>
  </si>
  <si>
    <t>Филиал ПАО «МРСК Северо-Запада» «Карелэнерго» –                АО «Прионежская сетевая компания»</t>
  </si>
  <si>
    <t xml:space="preserve">Филиал ПАО «МРСК Северо-Запада» «Карелэнерго» –                АО «Петрозаводские коммунальные системы» </t>
  </si>
  <si>
    <t>Филиал ПАО «МРСК Северо-Запада» «Карелэнерго» –                Структурное подразделение Трансэнерго – филиал               ОАО «Российские железные дороги» Октябрьской дирекции по энергообеспечению</t>
  </si>
  <si>
    <t>Филиал ПАО «МРСК Северо-Запада» «Карелэнерго» –                Филиал «Северо-Западный» АО «Оборонэнерго»</t>
  </si>
  <si>
    <t>Филиал ПАО «МРСК Северо-Запада» «Карелэнерго» –                Филиал «ФСК ЕЭС» - Карельское ПМЭС»</t>
  </si>
  <si>
    <t>Филиал ПАО «МРСК Северо-Запада» «Карелэнерго» –                АО «Карельский окатыш»</t>
  </si>
  <si>
    <t>Филиал ПАО «МРСК Северо-Запада» «Карелэнерго» –                ООО «РЭК»</t>
  </si>
  <si>
    <t>Филиал ПАО «МРСК Северо-Запада» «Карелэнерго» –                ООО «СК Энерго»</t>
  </si>
  <si>
    <t>Филиал ПАО «МРСК Северо-Запада» «Карелэнерго» –                ООО «ПСК Стройконструкция»</t>
  </si>
  <si>
    <t>Филиал ПАО «МРСК Северо-Запада» «Карелэнерго» –                Филиал АО «АЭМ-технологии» «Петрозаводскмаш» в                         г. Петрозаводск</t>
  </si>
  <si>
    <t>Филиал ПАО «МРСК Северо-Запада» «Карелэнерго» –                ООО «Карелия-сети»</t>
  </si>
  <si>
    <t>Филиал ПАО «МРСК Северо-Запада» «Карелэнерго»  –             ООО «Электросетевая компания. Карелия»</t>
  </si>
  <si>
    <t xml:space="preserve">АО «Прионежская сетевая компания» – ООО «Охта Групп Онега»  </t>
  </si>
  <si>
    <t>Доходы Филиала ПАО «МРСК Северо-Запада» «Карелэнерго»  от оказания услуг по передаче электрической энергии на 2017 год</t>
  </si>
  <si>
    <t>Приложение № 2 к протоколу заседания Правления Государственного комитета                                                                                                                      Республики Карелия по ценам и тарифам от 31.07.2017 № 36</t>
  </si>
  <si>
    <t xml:space="preserve">Приложение № 3 к протоколу заседания Правления Государственного комитета                                                                                                                      Республики Карелия по ценам и тарифам                                      от 31.07.2017 № 36           </t>
  </si>
  <si>
    <t>Доходы филиала ПАО «ФСК ЕЭС» - Карельское ПМЭС от оказания услуг по передаче электрической энергии от АО «ТНС энерго Карелия» на 2017 год</t>
  </si>
  <si>
    <t>по приказу ФАС России от 04.07.2017                                            № 880/17</t>
  </si>
  <si>
    <t>Приложение № 4 к протоколу заседания Правления Государственного комитета                                                           Республики Карелия по ценам и тарифам от 31.07.2017 № 36</t>
  </si>
  <si>
    <t>Приложение № 5 к протоколу заседания Правления Государственного комитета Республики Карелия по ценам и тарифам от 31.07.2017 № 36</t>
  </si>
  <si>
    <r>
      <t>Ставка на содержание электрических сетей, руб./кВт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мес.</t>
    </r>
  </si>
  <si>
    <r>
      <t>Ставка на оплату технологического расхода (потерь), руб./кВт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</si>
  <si>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r>
      <t>Одноставоч-ный тариф, руб./кВт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</si>
</sst>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00000"/>
    <numFmt numFmtId="174" formatCode="0.000000"/>
    <numFmt numFmtId="175" formatCode="#,##0.0000"/>
    <numFmt numFmtId="176" formatCode="#,##0.000000"/>
    <numFmt numFmtId="177" formatCode="#,##0.00000"/>
    <numFmt numFmtId="178" formatCode="_-* #,##0.000000_р_._-;\-* #,##0.000000_р_._-;_-* &quot;-&quot;??_р_._-;_-@_-"/>
    <numFmt numFmtId="179" formatCode="#,##0.000000000"/>
    <numFmt numFmtId="180" formatCode="#,##0.0"/>
    <numFmt numFmtId="181" formatCode="#,##0.00000000"/>
    <numFmt numFmtId="182" formatCode="#,##0.000"/>
    <numFmt numFmtId="183" formatCode="0.00000"/>
    <numFmt numFmtId="184" formatCode="0.000"/>
    <numFmt numFmtId="185" formatCode="#,##0.0000000"/>
    <numFmt numFmtId="186" formatCode="0.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4" fillId="0" borderId="0" xfId="55">
      <alignment vertical="center"/>
      <protection/>
    </xf>
    <xf numFmtId="0" fontId="22" fillId="0" borderId="0" xfId="55" applyFont="1" applyAlignment="1">
      <alignment horizontal="right" vertical="center" wrapText="1"/>
      <protection/>
    </xf>
    <xf numFmtId="0" fontId="14" fillId="0" borderId="0" xfId="55" applyFill="1">
      <alignment vertical="center"/>
      <protection/>
    </xf>
    <xf numFmtId="0" fontId="24" fillId="0" borderId="0" xfId="55" applyFont="1" applyAlignment="1">
      <alignment/>
      <protection/>
    </xf>
    <xf numFmtId="0" fontId="22" fillId="0" borderId="0" xfId="55" applyFont="1" applyBorder="1" applyAlignment="1">
      <alignment horizontal="center"/>
      <protection/>
    </xf>
    <xf numFmtId="0" fontId="22" fillId="0" borderId="0" xfId="55" applyFont="1" applyFill="1" applyBorder="1" applyAlignment="1">
      <alignment horizontal="center"/>
      <protection/>
    </xf>
    <xf numFmtId="0" fontId="24" fillId="0" borderId="10" xfId="55" applyFont="1" applyBorder="1" applyAlignment="1">
      <alignment horizontal="center" vertical="center" wrapText="1" shrinkToFit="1"/>
      <protection/>
    </xf>
    <xf numFmtId="0" fontId="22" fillId="0" borderId="11" xfId="55" applyFont="1" applyFill="1" applyBorder="1" applyAlignment="1">
      <alignment horizontal="left"/>
      <protection/>
    </xf>
    <xf numFmtId="0" fontId="25" fillId="0" borderId="10" xfId="55" applyFont="1" applyFill="1" applyBorder="1" applyAlignment="1">
      <alignment horizontal="right"/>
      <protection/>
    </xf>
    <xf numFmtId="0" fontId="25" fillId="0" borderId="10" xfId="55" applyFont="1" applyFill="1" applyBorder="1" applyAlignment="1">
      <alignment horizontal="center"/>
      <protection/>
    </xf>
    <xf numFmtId="0" fontId="25" fillId="0" borderId="12" xfId="55" applyFont="1" applyFill="1" applyBorder="1" applyAlignment="1">
      <alignment horizontal="center"/>
      <protection/>
    </xf>
    <xf numFmtId="0" fontId="25" fillId="0" borderId="11" xfId="55" applyFont="1" applyFill="1" applyBorder="1" applyAlignment="1">
      <alignment vertical="center" wrapText="1"/>
      <protection/>
    </xf>
    <xf numFmtId="4" fontId="25" fillId="0" borderId="10" xfId="55" applyNumberFormat="1" applyFont="1" applyFill="1" applyBorder="1" applyAlignment="1">
      <alignment horizontal="center" vertical="center" wrapText="1"/>
      <protection/>
    </xf>
    <xf numFmtId="4" fontId="25" fillId="0" borderId="12" xfId="55" applyNumberFormat="1" applyFont="1" applyFill="1" applyBorder="1" applyAlignment="1">
      <alignment horizontal="center" vertical="center" wrapText="1"/>
      <protection/>
    </xf>
    <xf numFmtId="4" fontId="24" fillId="0" borderId="0" xfId="55" applyNumberFormat="1" applyFont="1" applyAlignment="1">
      <alignment/>
      <protection/>
    </xf>
    <xf numFmtId="175" fontId="24" fillId="0" borderId="0" xfId="55" applyNumberFormat="1" applyFont="1" applyAlignment="1">
      <alignment/>
      <protection/>
    </xf>
    <xf numFmtId="177" fontId="24" fillId="0" borderId="0" xfId="55" applyNumberFormat="1" applyFont="1" applyAlignment="1">
      <alignment/>
      <protection/>
    </xf>
    <xf numFmtId="4" fontId="25" fillId="0" borderId="10" xfId="55" applyNumberFormat="1" applyFont="1" applyFill="1" applyBorder="1" applyAlignment="1">
      <alignment horizontal="center" vertical="center" wrapText="1"/>
      <protection/>
    </xf>
    <xf numFmtId="4" fontId="24" fillId="0" borderId="0" xfId="55" applyNumberFormat="1" applyFont="1" applyAlignment="1">
      <alignment horizontal="right"/>
      <protection/>
    </xf>
    <xf numFmtId="4" fontId="22" fillId="0" borderId="12" xfId="55" applyNumberFormat="1" applyFont="1" applyFill="1" applyBorder="1" applyAlignment="1">
      <alignment horizontal="center" vertical="center" wrapText="1"/>
      <protection/>
    </xf>
    <xf numFmtId="0" fontId="24" fillId="0" borderId="0" xfId="55" applyFont="1" applyAlignment="1">
      <alignment horizontal="center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55" applyNumberFormat="1" applyFont="1" applyFill="1" applyBorder="1" applyAlignment="1">
      <alignment horizontal="center" vertical="center" wrapText="1"/>
      <protection/>
    </xf>
    <xf numFmtId="179" fontId="24" fillId="0" borderId="0" xfId="55" applyNumberFormat="1" applyFont="1" applyAlignment="1">
      <alignment/>
      <protection/>
    </xf>
    <xf numFmtId="4" fontId="26" fillId="0" borderId="10" xfId="55" applyNumberFormat="1" applyFont="1" applyFill="1" applyBorder="1" applyAlignment="1">
      <alignment horizontal="center" vertical="center" wrapText="1"/>
      <protection/>
    </xf>
    <xf numFmtId="0" fontId="24" fillId="0" borderId="0" xfId="55" applyFont="1" applyAlignment="1">
      <alignment horizontal="right"/>
      <protection/>
    </xf>
    <xf numFmtId="0" fontId="22" fillId="0" borderId="11" xfId="55" applyFont="1" applyFill="1" applyBorder="1" applyAlignment="1">
      <alignment vertical="center" wrapText="1"/>
      <protection/>
    </xf>
    <xf numFmtId="4" fontId="25" fillId="0" borderId="12" xfId="55" applyNumberFormat="1" applyFont="1" applyFill="1" applyBorder="1" applyAlignment="1">
      <alignment horizontal="center" vertical="center" wrapText="1"/>
      <protection/>
    </xf>
    <xf numFmtId="176" fontId="24" fillId="0" borderId="0" xfId="55" applyNumberFormat="1" applyFont="1" applyAlignment="1">
      <alignment horizontal="right"/>
      <protection/>
    </xf>
    <xf numFmtId="176" fontId="24" fillId="0" borderId="0" xfId="55" applyNumberFormat="1" applyFont="1" applyAlignment="1">
      <alignment/>
      <protection/>
    </xf>
    <xf numFmtId="0" fontId="25" fillId="0" borderId="13" xfId="55" applyFont="1" applyFill="1" applyBorder="1" applyAlignment="1">
      <alignment vertical="center" wrapText="1"/>
      <protection/>
    </xf>
    <xf numFmtId="4" fontId="25" fillId="0" borderId="14" xfId="55" applyNumberFormat="1" applyFont="1" applyFill="1" applyBorder="1" applyAlignment="1">
      <alignment horizontal="center" vertical="center" wrapText="1"/>
      <protection/>
    </xf>
    <xf numFmtId="4" fontId="22" fillId="0" borderId="15" xfId="55" applyNumberFormat="1" applyFont="1" applyFill="1" applyBorder="1" applyAlignment="1">
      <alignment horizontal="center" vertical="center" wrapText="1"/>
      <protection/>
    </xf>
    <xf numFmtId="0" fontId="25" fillId="0" borderId="0" xfId="55" applyFont="1" applyFill="1" applyBorder="1" applyAlignment="1">
      <alignment vertical="center" wrapText="1"/>
      <protection/>
    </xf>
    <xf numFmtId="4" fontId="25" fillId="0" borderId="0" xfId="55" applyNumberFormat="1" applyFont="1" applyFill="1" applyBorder="1" applyAlignment="1">
      <alignment horizontal="center" vertical="center" wrapText="1"/>
      <protection/>
    </xf>
    <xf numFmtId="175" fontId="25" fillId="0" borderId="0" xfId="55" applyNumberFormat="1" applyFont="1" applyFill="1" applyBorder="1" applyAlignment="1">
      <alignment horizontal="center" vertical="center" wrapText="1"/>
      <protection/>
    </xf>
    <xf numFmtId="4" fontId="22" fillId="0" borderId="0" xfId="55" applyNumberFormat="1" applyFont="1" applyFill="1" applyBorder="1" applyAlignment="1">
      <alignment horizontal="center" vertical="center" wrapText="1"/>
      <protection/>
    </xf>
    <xf numFmtId="0" fontId="25" fillId="0" borderId="0" xfId="55" applyFont="1" applyAlignment="1">
      <alignment/>
      <protection/>
    </xf>
    <xf numFmtId="4" fontId="25" fillId="0" borderId="0" xfId="55" applyNumberFormat="1" applyFont="1" applyAlignment="1">
      <alignment/>
      <protection/>
    </xf>
    <xf numFmtId="4" fontId="25" fillId="0" borderId="0" xfId="55" applyNumberFormat="1" applyFont="1" applyAlignment="1">
      <alignment horizontal="center"/>
      <protection/>
    </xf>
    <xf numFmtId="4" fontId="25" fillId="0" borderId="0" xfId="55" applyNumberFormat="1" applyFont="1" applyFill="1" applyAlignment="1">
      <alignment horizontal="center"/>
      <protection/>
    </xf>
    <xf numFmtId="2" fontId="24" fillId="0" borderId="0" xfId="55" applyNumberFormat="1" applyFont="1" applyBorder="1" applyAlignment="1">
      <alignment horizontal="right"/>
      <protection/>
    </xf>
    <xf numFmtId="2" fontId="24" fillId="0" borderId="0" xfId="55" applyNumberFormat="1" applyFont="1" applyBorder="1" applyAlignment="1">
      <alignment horizontal="center"/>
      <protection/>
    </xf>
    <xf numFmtId="0" fontId="24" fillId="4" borderId="0" xfId="55" applyFont="1" applyFill="1" applyAlignment="1">
      <alignment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0" xfId="55" applyFont="1">
      <alignment vertical="center"/>
      <protection/>
    </xf>
    <xf numFmtId="17" fontId="22" fillId="0" borderId="10" xfId="56" applyNumberFormat="1" applyFont="1" applyBorder="1" applyAlignment="1">
      <alignment horizontal="center" vertical="center" wrapText="1" shrinkToFit="1"/>
      <protection/>
    </xf>
    <xf numFmtId="0" fontId="22" fillId="0" borderId="10" xfId="56" applyFont="1" applyBorder="1" applyAlignment="1">
      <alignment horizontal="center" vertical="center" wrapText="1" shrinkToFit="1"/>
      <protection/>
    </xf>
    <xf numFmtId="4" fontId="22" fillId="0" borderId="10" xfId="56" applyNumberFormat="1" applyFont="1" applyBorder="1" applyAlignment="1">
      <alignment horizontal="center" vertical="center" wrapText="1"/>
      <protection/>
    </xf>
    <xf numFmtId="0" fontId="25" fillId="0" borderId="10" xfId="55" applyFont="1" applyBorder="1">
      <alignment vertical="center"/>
      <protection/>
    </xf>
    <xf numFmtId="0" fontId="25" fillId="0" borderId="10" xfId="56" applyFont="1" applyBorder="1" applyAlignment="1">
      <alignment horizontal="center" vertical="center" wrapText="1"/>
      <protection/>
    </xf>
    <xf numFmtId="4" fontId="22" fillId="4" borderId="10" xfId="56" applyNumberFormat="1" applyFont="1" applyFill="1" applyBorder="1" applyAlignment="1">
      <alignment horizontal="center" vertical="center" wrapText="1"/>
      <protection/>
    </xf>
    <xf numFmtId="4" fontId="25" fillId="0" borderId="10" xfId="56" applyNumberFormat="1" applyFont="1" applyBorder="1" applyAlignment="1">
      <alignment horizontal="center" vertical="center" wrapText="1"/>
      <protection/>
    </xf>
    <xf numFmtId="4" fontId="22" fillId="0" borderId="10" xfId="56" applyNumberFormat="1" applyFont="1" applyFill="1" applyBorder="1" applyAlignment="1">
      <alignment horizontal="center" vertical="center" wrapText="1"/>
      <protection/>
    </xf>
    <xf numFmtId="0" fontId="25" fillId="0" borderId="0" xfId="55" applyFont="1">
      <alignment vertical="center"/>
      <protection/>
    </xf>
    <xf numFmtId="0" fontId="27" fillId="0" borderId="10" xfId="55" applyFont="1" applyBorder="1" applyAlignment="1">
      <alignment vertical="center" wrapText="1"/>
      <protection/>
    </xf>
    <xf numFmtId="4" fontId="25" fillId="0" borderId="0" xfId="55" applyNumberFormat="1" applyFont="1" applyAlignment="1">
      <alignment horizontal="center" vertical="center"/>
      <protection/>
    </xf>
    <xf numFmtId="182" fontId="25" fillId="0" borderId="0" xfId="55" applyNumberFormat="1" applyFont="1">
      <alignment vertical="center"/>
      <protection/>
    </xf>
    <xf numFmtId="177" fontId="22" fillId="0" borderId="10" xfId="56" applyNumberFormat="1" applyFont="1" applyBorder="1" applyAlignment="1">
      <alignment horizontal="center" vertical="center" wrapText="1"/>
      <protection/>
    </xf>
    <xf numFmtId="0" fontId="22" fillId="0" borderId="10" xfId="55" applyFont="1" applyBorder="1">
      <alignment vertical="center"/>
      <protection/>
    </xf>
    <xf numFmtId="4" fontId="22" fillId="0" borderId="10" xfId="55" applyNumberFormat="1" applyFont="1" applyBorder="1" applyAlignment="1">
      <alignment horizontal="center" vertical="center" wrapText="1"/>
      <protection/>
    </xf>
    <xf numFmtId="2" fontId="14" fillId="0" borderId="0" xfId="55" applyNumberFormat="1">
      <alignment vertical="center"/>
      <protection/>
    </xf>
    <xf numFmtId="4" fontId="14" fillId="0" borderId="0" xfId="55" applyNumberFormat="1">
      <alignment vertical="center"/>
      <protection/>
    </xf>
    <xf numFmtId="4" fontId="14" fillId="0" borderId="0" xfId="55" applyNumberFormat="1" applyFill="1">
      <alignment vertical="center"/>
      <protection/>
    </xf>
    <xf numFmtId="2" fontId="14" fillId="0" borderId="0" xfId="55" applyNumberFormat="1" applyFill="1">
      <alignment vertical="center"/>
      <protection/>
    </xf>
    <xf numFmtId="182" fontId="14" fillId="0" borderId="0" xfId="55" applyNumberFormat="1" applyAlignment="1">
      <alignment horizontal="center" vertical="center"/>
      <protection/>
    </xf>
    <xf numFmtId="0" fontId="28" fillId="0" borderId="0" xfId="55" applyFont="1" applyAlignment="1">
      <alignment vertical="center" wrapText="1"/>
      <protection/>
    </xf>
    <xf numFmtId="182" fontId="25" fillId="0" borderId="10" xfId="55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Fill="1" applyAlignment="1">
      <alignment wrapText="1"/>
    </xf>
    <xf numFmtId="0" fontId="30" fillId="0" borderId="0" xfId="0" applyFont="1" applyFill="1" applyAlignment="1">
      <alignment horizontal="right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172" fontId="30" fillId="0" borderId="10" xfId="0" applyNumberFormat="1" applyFont="1" applyFill="1" applyBorder="1" applyAlignment="1">
      <alignment horizontal="center" wrapText="1"/>
    </xf>
    <xf numFmtId="175" fontId="30" fillId="0" borderId="10" xfId="0" applyNumberFormat="1" applyFont="1" applyFill="1" applyBorder="1" applyAlignment="1">
      <alignment horizontal="center" wrapText="1"/>
    </xf>
    <xf numFmtId="175" fontId="30" fillId="0" borderId="10" xfId="59" applyNumberFormat="1" applyFont="1" applyFill="1" applyBorder="1" applyAlignment="1">
      <alignment horizontal="center"/>
      <protection/>
    </xf>
    <xf numFmtId="4" fontId="30" fillId="0" borderId="10" xfId="0" applyNumberFormat="1" applyFont="1" applyFill="1" applyBorder="1" applyAlignment="1">
      <alignment horizontal="center" wrapText="1"/>
    </xf>
    <xf numFmtId="4" fontId="30" fillId="0" borderId="10" xfId="0" applyNumberFormat="1" applyFont="1" applyBorder="1" applyAlignment="1">
      <alignment horizontal="center" wrapText="1"/>
    </xf>
    <xf numFmtId="4" fontId="30" fillId="0" borderId="12" xfId="0" applyNumberFormat="1" applyFont="1" applyFill="1" applyBorder="1" applyAlignment="1">
      <alignment horizontal="center" wrapText="1"/>
    </xf>
    <xf numFmtId="173" fontId="29" fillId="0" borderId="0" xfId="0" applyNumberFormat="1" applyFont="1" applyFill="1" applyBorder="1" applyAlignment="1">
      <alignment wrapText="1"/>
    </xf>
    <xf numFmtId="172" fontId="29" fillId="0" borderId="0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2" fontId="29" fillId="0" borderId="0" xfId="0" applyNumberFormat="1" applyFont="1" applyFill="1" applyBorder="1" applyAlignment="1">
      <alignment wrapText="1"/>
    </xf>
    <xf numFmtId="174" fontId="29" fillId="0" borderId="0" xfId="0" applyNumberFormat="1" applyFont="1" applyFill="1" applyBorder="1" applyAlignment="1">
      <alignment wrapText="1"/>
    </xf>
    <xf numFmtId="0" fontId="32" fillId="0" borderId="10" xfId="0" applyFont="1" applyBorder="1" applyAlignment="1">
      <alignment wrapText="1"/>
    </xf>
    <xf numFmtId="175" fontId="29" fillId="0" borderId="10" xfId="59" applyNumberFormat="1" applyFont="1" applyFill="1" applyBorder="1" applyAlignment="1">
      <alignment horizontal="center"/>
      <protection/>
    </xf>
    <xf numFmtId="4" fontId="29" fillId="0" borderId="10" xfId="0" applyNumberFormat="1" applyFont="1" applyFill="1" applyBorder="1" applyAlignment="1">
      <alignment horizontal="center" wrapText="1"/>
    </xf>
    <xf numFmtId="4" fontId="29" fillId="0" borderId="10" xfId="0" applyNumberFormat="1" applyFont="1" applyBorder="1" applyAlignment="1">
      <alignment horizontal="center" wrapText="1"/>
    </xf>
    <xf numFmtId="4" fontId="29" fillId="0" borderId="12" xfId="0" applyNumberFormat="1" applyFont="1" applyFill="1" applyBorder="1" applyAlignment="1">
      <alignment horizontal="center" wrapText="1"/>
    </xf>
    <xf numFmtId="173" fontId="29" fillId="0" borderId="0" xfId="0" applyNumberFormat="1" applyFont="1" applyFill="1" applyBorder="1" applyAlignment="1">
      <alignment horizontal="right" wrapText="1"/>
    </xf>
    <xf numFmtId="172" fontId="29" fillId="0" borderId="10" xfId="0" applyNumberFormat="1" applyFont="1" applyFill="1" applyBorder="1" applyAlignment="1">
      <alignment horizontal="center" wrapText="1"/>
    </xf>
    <xf numFmtId="175" fontId="29" fillId="0" borderId="10" xfId="0" applyNumberFormat="1" applyFont="1" applyFill="1" applyBorder="1" applyAlignment="1">
      <alignment horizontal="center" wrapText="1"/>
    </xf>
    <xf numFmtId="4" fontId="29" fillId="0" borderId="10" xfId="58" applyNumberFormat="1" applyFont="1" applyFill="1" applyBorder="1" applyAlignment="1">
      <alignment horizontal="center"/>
      <protection/>
    </xf>
    <xf numFmtId="172" fontId="24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wrapText="1"/>
    </xf>
    <xf numFmtId="4" fontId="30" fillId="0" borderId="12" xfId="0" applyNumberFormat="1" applyFont="1" applyBorder="1" applyAlignment="1">
      <alignment horizontal="center" wrapText="1"/>
    </xf>
    <xf numFmtId="4" fontId="29" fillId="0" borderId="12" xfId="0" applyNumberFormat="1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wrapText="1"/>
    </xf>
    <xf numFmtId="0" fontId="30" fillId="0" borderId="0" xfId="0" applyFont="1" applyAlignment="1">
      <alignment wrapText="1"/>
    </xf>
    <xf numFmtId="0" fontId="30" fillId="0" borderId="11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Border="1" applyAlignment="1">
      <alignment wrapText="1"/>
    </xf>
    <xf numFmtId="175" fontId="30" fillId="0" borderId="10" xfId="0" applyNumberFormat="1" applyFont="1" applyBorder="1" applyAlignment="1">
      <alignment horizontal="center" wrapText="1"/>
    </xf>
    <xf numFmtId="175" fontId="29" fillId="0" borderId="10" xfId="0" applyNumberFormat="1" applyFont="1" applyBorder="1" applyAlignment="1">
      <alignment horizontal="center" wrapText="1"/>
    </xf>
    <xf numFmtId="172" fontId="29" fillId="0" borderId="10" xfId="0" applyNumberFormat="1" applyFont="1" applyFill="1" applyBorder="1" applyAlignment="1">
      <alignment wrapText="1"/>
    </xf>
    <xf numFmtId="172" fontId="29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175" fontId="30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4" fontId="29" fillId="0" borderId="10" xfId="68" applyNumberFormat="1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/>
    </xf>
    <xf numFmtId="4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 horizontal="center"/>
    </xf>
    <xf numFmtId="4" fontId="29" fillId="0" borderId="10" xfId="0" applyNumberFormat="1" applyFont="1" applyFill="1" applyBorder="1" applyAlignment="1">
      <alignment wrapText="1"/>
    </xf>
    <xf numFmtId="175" fontId="30" fillId="0" borderId="10" xfId="0" applyNumberFormat="1" applyFont="1" applyFill="1" applyBorder="1" applyAlignment="1">
      <alignment horizontal="center"/>
    </xf>
    <xf numFmtId="4" fontId="29" fillId="0" borderId="10" xfId="0" applyNumberFormat="1" applyFont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 wrapText="1"/>
    </xf>
    <xf numFmtId="0" fontId="30" fillId="0" borderId="14" xfId="0" applyFont="1" applyFill="1" applyBorder="1" applyAlignment="1">
      <alignment horizontal="center" wrapText="1"/>
    </xf>
    <xf numFmtId="175" fontId="30" fillId="0" borderId="14" xfId="0" applyNumberFormat="1" applyFont="1" applyFill="1" applyBorder="1" applyAlignment="1">
      <alignment horizontal="center" wrapText="1"/>
    </xf>
    <xf numFmtId="175" fontId="29" fillId="0" borderId="14" xfId="0" applyNumberFormat="1" applyFont="1" applyFill="1" applyBorder="1" applyAlignment="1">
      <alignment horizontal="center" wrapText="1"/>
    </xf>
    <xf numFmtId="4" fontId="29" fillId="0" borderId="0" xfId="0" applyNumberFormat="1" applyFont="1" applyFill="1" applyAlignment="1">
      <alignment wrapText="1"/>
    </xf>
    <xf numFmtId="182" fontId="29" fillId="0" borderId="0" xfId="0" applyNumberFormat="1" applyFont="1" applyFill="1" applyAlignment="1">
      <alignment wrapText="1"/>
    </xf>
    <xf numFmtId="175" fontId="29" fillId="0" borderId="0" xfId="0" applyNumberFormat="1" applyFont="1" applyAlignment="1">
      <alignment wrapText="1"/>
    </xf>
    <xf numFmtId="4" fontId="29" fillId="0" borderId="0" xfId="0" applyNumberFormat="1" applyFont="1" applyAlignment="1">
      <alignment wrapText="1"/>
    </xf>
    <xf numFmtId="4" fontId="29" fillId="0" borderId="0" xfId="68" applyNumberFormat="1" applyFont="1" applyFill="1" applyBorder="1" applyAlignment="1">
      <alignment wrapText="1"/>
    </xf>
    <xf numFmtId="4" fontId="29" fillId="0" borderId="0" xfId="68" applyNumberFormat="1" applyFont="1" applyFill="1" applyBorder="1" applyAlignment="1">
      <alignment horizontal="center" wrapText="1"/>
    </xf>
    <xf numFmtId="4" fontId="30" fillId="0" borderId="0" xfId="0" applyNumberFormat="1" applyFont="1" applyFill="1" applyAlignment="1">
      <alignment wrapText="1"/>
    </xf>
    <xf numFmtId="175" fontId="30" fillId="0" borderId="0" xfId="0" applyNumberFormat="1" applyFont="1" applyAlignment="1">
      <alignment wrapText="1"/>
    </xf>
    <xf numFmtId="0" fontId="29" fillId="0" borderId="0" xfId="0" applyFont="1" applyFill="1" applyAlignment="1">
      <alignment horizontal="left" wrapText="1"/>
    </xf>
    <xf numFmtId="175" fontId="29" fillId="0" borderId="0" xfId="0" applyNumberFormat="1" applyFont="1" applyFill="1" applyAlignment="1">
      <alignment horizontal="right" wrapText="1"/>
    </xf>
    <xf numFmtId="4" fontId="29" fillId="0" borderId="0" xfId="68" applyNumberFormat="1" applyFont="1" applyFill="1" applyBorder="1" applyAlignment="1">
      <alignment horizontal="right" wrapText="1"/>
    </xf>
    <xf numFmtId="2" fontId="22" fillId="0" borderId="0" xfId="55" applyNumberFormat="1" applyFont="1" applyAlignment="1">
      <alignment horizontal="right" vertical="center" wrapText="1"/>
      <protection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wrapText="1"/>
    </xf>
    <xf numFmtId="4" fontId="24" fillId="0" borderId="10" xfId="0" applyNumberFormat="1" applyFont="1" applyFill="1" applyBorder="1" applyAlignment="1">
      <alignment horizontal="center" wrapText="1"/>
    </xf>
    <xf numFmtId="177" fontId="24" fillId="0" borderId="10" xfId="0" applyNumberFormat="1" applyFont="1" applyFill="1" applyBorder="1" applyAlignment="1">
      <alignment horizontal="center" wrapText="1"/>
    </xf>
    <xf numFmtId="0" fontId="22" fillId="0" borderId="10" xfId="55" applyFont="1" applyFill="1" applyBorder="1" applyAlignment="1">
      <alignment horizontal="left"/>
      <protection/>
    </xf>
    <xf numFmtId="0" fontId="25" fillId="0" borderId="10" xfId="55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left" vertical="center" wrapText="1"/>
      <protection/>
    </xf>
    <xf numFmtId="0" fontId="25" fillId="0" borderId="10" xfId="55" applyFont="1" applyBorder="1">
      <alignment vertical="center"/>
      <protection/>
    </xf>
    <xf numFmtId="0" fontId="29" fillId="0" borderId="10" xfId="0" applyFont="1" applyFill="1" applyBorder="1" applyAlignment="1">
      <alignment wrapText="1"/>
    </xf>
    <xf numFmtId="0" fontId="30" fillId="0" borderId="12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175" fontId="29" fillId="0" borderId="12" xfId="0" applyNumberFormat="1" applyFont="1" applyBorder="1" applyAlignment="1">
      <alignment horizontal="center" wrapText="1"/>
    </xf>
    <xf numFmtId="0" fontId="30" fillId="0" borderId="12" xfId="0" applyFont="1" applyBorder="1" applyAlignment="1">
      <alignment/>
    </xf>
    <xf numFmtId="0" fontId="29" fillId="0" borderId="12" xfId="0" applyFont="1" applyBorder="1" applyAlignment="1">
      <alignment/>
    </xf>
    <xf numFmtId="4" fontId="29" fillId="0" borderId="14" xfId="0" applyNumberFormat="1" applyFont="1" applyFill="1" applyBorder="1" applyAlignment="1">
      <alignment wrapText="1"/>
    </xf>
    <xf numFmtId="175" fontId="29" fillId="0" borderId="14" xfId="59" applyNumberFormat="1" applyFont="1" applyFill="1" applyBorder="1" applyAlignment="1">
      <alignment horizontal="center"/>
      <protection/>
    </xf>
    <xf numFmtId="4" fontId="29" fillId="0" borderId="14" xfId="0" applyNumberFormat="1" applyFont="1" applyBorder="1" applyAlignment="1">
      <alignment wrapText="1"/>
    </xf>
    <xf numFmtId="4" fontId="29" fillId="0" borderId="14" xfId="0" applyNumberFormat="1" applyFont="1" applyBorder="1" applyAlignment="1">
      <alignment horizontal="center" wrapText="1"/>
    </xf>
    <xf numFmtId="4" fontId="29" fillId="0" borderId="14" xfId="0" applyNumberFormat="1" applyFont="1" applyFill="1" applyBorder="1" applyAlignment="1">
      <alignment horizontal="center" wrapText="1"/>
    </xf>
    <xf numFmtId="175" fontId="29" fillId="0" borderId="14" xfId="0" applyNumberFormat="1" applyFont="1" applyBorder="1" applyAlignment="1">
      <alignment horizontal="center" wrapText="1"/>
    </xf>
    <xf numFmtId="0" fontId="29" fillId="0" borderId="15" xfId="0" applyFont="1" applyBorder="1" applyAlignment="1">
      <alignment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  <xf numFmtId="4" fontId="29" fillId="0" borderId="0" xfId="68" applyNumberFormat="1" applyFont="1" applyFill="1" applyBorder="1" applyAlignment="1">
      <alignment horizontal="center" wrapText="1"/>
    </xf>
    <xf numFmtId="0" fontId="22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75" fontId="25" fillId="0" borderId="0" xfId="55" applyNumberFormat="1" applyFont="1" applyFill="1" applyBorder="1" applyAlignment="1">
      <alignment horizontal="center" vertical="center" wrapText="1"/>
      <protection/>
    </xf>
    <xf numFmtId="4" fontId="25" fillId="0" borderId="10" xfId="55" applyNumberFormat="1" applyFont="1" applyFill="1" applyBorder="1" applyAlignment="1">
      <alignment horizontal="center" vertical="center" wrapText="1"/>
      <protection/>
    </xf>
    <xf numFmtId="4" fontId="22" fillId="0" borderId="10" xfId="55" applyNumberFormat="1" applyFont="1" applyFill="1" applyBorder="1" applyAlignment="1">
      <alignment horizontal="center" vertical="center" wrapText="1"/>
      <protection/>
    </xf>
    <xf numFmtId="4" fontId="22" fillId="0" borderId="19" xfId="55" applyNumberFormat="1" applyFont="1" applyFill="1" applyBorder="1" applyAlignment="1">
      <alignment horizontal="center" vertical="center" wrapText="1"/>
      <protection/>
    </xf>
    <xf numFmtId="4" fontId="22" fillId="0" borderId="20" xfId="55" applyNumberFormat="1" applyFont="1" applyFill="1" applyBorder="1" applyAlignment="1">
      <alignment horizontal="center" vertical="center" wrapText="1"/>
      <protection/>
    </xf>
    <xf numFmtId="4" fontId="22" fillId="0" borderId="21" xfId="55" applyNumberFormat="1" applyFont="1" applyFill="1" applyBorder="1" applyAlignment="1">
      <alignment horizontal="center" vertical="center" wrapText="1"/>
      <protection/>
    </xf>
    <xf numFmtId="49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5" applyFont="1" applyAlignment="1">
      <alignment horizontal="right" vertical="center" wrapText="1"/>
      <protection/>
    </xf>
    <xf numFmtId="0" fontId="23" fillId="0" borderId="0" xfId="55" applyFont="1" applyBorder="1" applyAlignment="1">
      <alignment horizontal="center"/>
      <protection/>
    </xf>
    <xf numFmtId="0" fontId="25" fillId="0" borderId="18" xfId="55" applyFont="1" applyBorder="1" applyAlignment="1">
      <alignment horizontal="center" vertical="center" wrapText="1"/>
      <protection/>
    </xf>
    <xf numFmtId="0" fontId="25" fillId="0" borderId="11" xfId="55" applyFont="1" applyBorder="1" applyAlignment="1">
      <alignment horizontal="center" vertical="center" wrapText="1"/>
      <protection/>
    </xf>
    <xf numFmtId="0" fontId="25" fillId="0" borderId="16" xfId="55" applyFont="1" applyBorder="1" applyAlignment="1">
      <alignment horizontal="center"/>
      <protection/>
    </xf>
    <xf numFmtId="0" fontId="24" fillId="0" borderId="22" xfId="55" applyFont="1" applyBorder="1" applyAlignment="1">
      <alignment horizontal="center" vertical="center" wrapText="1" shrinkToFit="1"/>
      <protection/>
    </xf>
    <xf numFmtId="0" fontId="24" fillId="0" borderId="23" xfId="55" applyFont="1" applyBorder="1" applyAlignment="1">
      <alignment horizontal="center" vertical="center" wrapText="1" shrinkToFit="1"/>
      <protection/>
    </xf>
    <xf numFmtId="0" fontId="24" fillId="0" borderId="17" xfId="55" applyFont="1" applyBorder="1" applyAlignment="1">
      <alignment horizontal="center" vertical="center" wrapText="1" shrinkToFit="1"/>
      <protection/>
    </xf>
    <xf numFmtId="0" fontId="24" fillId="0" borderId="12" xfId="55" applyFont="1" applyBorder="1" applyAlignment="1">
      <alignment horizontal="center" vertical="center" wrapText="1" shrinkToFit="1"/>
      <protection/>
    </xf>
    <xf numFmtId="0" fontId="23" fillId="0" borderId="0" xfId="55" applyFont="1" applyBorder="1" applyAlignment="1">
      <alignment horizont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24" fillId="0" borderId="10" xfId="55" applyFont="1" applyBorder="1" applyAlignment="1">
      <alignment horizontal="center" vertical="center" wrapText="1" shrinkToFit="1"/>
      <protection/>
    </xf>
    <xf numFmtId="0" fontId="30" fillId="0" borderId="1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24" fillId="0" borderId="24" xfId="0" applyNumberFormat="1" applyFont="1" applyBorder="1" applyAlignment="1">
      <alignment horizontal="center" vertical="center" wrapText="1"/>
    </xf>
    <xf numFmtId="2" fontId="24" fillId="0" borderId="25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2" fontId="24" fillId="0" borderId="21" xfId="0" applyNumberFormat="1" applyFont="1" applyBorder="1" applyAlignment="1">
      <alignment horizontal="center" vertical="center" wrapText="1"/>
    </xf>
    <xf numFmtId="4" fontId="22" fillId="0" borderId="26" xfId="56" applyNumberFormat="1" applyFont="1" applyBorder="1" applyAlignment="1">
      <alignment horizontal="center" vertical="center" wrapText="1"/>
      <protection/>
    </xf>
    <xf numFmtId="4" fontId="22" fillId="0" borderId="27" xfId="56" applyNumberFormat="1" applyFont="1" applyBorder="1" applyAlignment="1">
      <alignment horizontal="center" vertical="center" wrapText="1"/>
      <protection/>
    </xf>
    <xf numFmtId="4" fontId="22" fillId="0" borderId="28" xfId="56" applyNumberFormat="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5" xfId="56"/>
    <cellStyle name="Обычный 5 5 2" xfId="57"/>
    <cellStyle name="Обычный_2013-11-19 расчет котловых тарифов 2014 THE END" xfId="58"/>
    <cellStyle name="Обычный_Лист1_Рсчет расходов на потери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3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89;&#1090;&#1072;&#1085;&#1086;&#1074;&#1083;&#1077;&#1085;&#1080;&#1103;%20&#1080;%20&#1087;&#1088;&#1086;&#1090;&#1086;&#1082;&#1086;&#1083;&#1099;\&#1058;&#1072;&#1073;&#1083;&#1080;&#1094;&#1072;%202017%20&#1075;&#1086;&#1076;%20&#1048;&#1058;&#1054;&#1043;&#1054;&#1042;&#1040;&#1071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Users\ekareva\AppData\Local\Microsoft\Windows\Temporary%20Internet%20Files\Content.Outlook\FP90ILLK\&#1058;&#1072;&#1073;&#1083;&#1080;&#1094;&#1072;%202017%20&#1075;&#1086;&#1076;%20&#1048;&#1058;&#1054;&#1043;&#1054;&#1042;&#1040;&#107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Documents%20and%20Settings\ebazanova\Local%20Settings\Temporary%20Internet%20Files\OLK1FE\2016-12-08%20&#1087;&#1077;&#1088;&#1077;&#1090;&#1086;&#1082;&#1080;%2020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Documents%20and%20Settings\ebazanova\Local%20Settings\Temporary%20Internet%20Files\OLK1FE\&#1040;&#1056;&#1041;&#1055;%20&#1086;&#1090;%20&#1050;&#1072;&#1088;&#1077;&#1083;&#1101;&#1085;&#1077;&#1088;&#1075;&#10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Users\odanilova\Desktop\&#1045;&#1088;&#1096;&#1086;&#1074;&#1072;\&#1056;&#1077;&#1075;&#1091;&#1083;&#1080;&#1088;&#1086;&#1074;&#1072;&#1085;&#1080;&#1077;\&#1058;&#1072;&#1088;&#1080;&#1092;&#1099;\&#1085;&#1072;%202017%20&#1075;&#1086;&#1076;\&#1080;&#1085;&#1076;&#1080;&#1074;&#1080;&#1076;&#1091;&#1072;&#1083;&#1100;&#1085;&#1099;&#1077;%20&#1090;&#1072;&#1088;&#1080;&#1092;&#1099;\&#1040;&#1056;&#1041;&#1055;%20&#1086;&#1090;%20&#1055;&#1057;&#1050;\&#1056;&#1077;&#1077;&#1089;&#1090;&#1088;%20&#1040;&#1056;&#1041;&#1055;%20&#1089;%20&#1057;&#1057;&#1054;%20(&#1055;&#1057;&#1050;%20-&#1042;&#1057;&#1057;&#1054;)%20&#1076;&#1083;&#1103;%20&#1043;&#1050;%20&#1056;&#1050;%202016&#1075;.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Users\odanilova\Desktop\&#1045;&#1088;&#1096;&#1086;&#1074;&#1072;\&#1056;&#1077;&#1075;&#1091;&#1083;&#1080;&#1088;&#1086;&#1074;&#1072;&#1085;&#1080;&#1077;\&#1058;&#1072;&#1088;&#1080;&#1092;&#1099;\&#1085;&#1072;%202017%20&#1075;&#1086;&#1076;\&#1080;&#1085;&#1076;&#1080;&#1074;&#1080;&#1076;&#1091;&#1072;&#1083;&#1100;&#1085;&#1099;&#1077;%20&#1090;&#1072;&#1088;&#1080;&#1092;&#1099;\&#1040;&#1056;&#1041;&#1055;%20&#1086;&#1090;%20&#1050;&#1072;&#1088;&#1077;&#1083;&#1101;&#1085;&#1077;&#1088;&#1075;&#10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Documents%20and%20Settings\ebazanova\Local%20Settings\Temporary%20Internet%20Files\OLK1FE\2016-12-08%20&#1087;&#1077;&#1088;&#1077;&#1090;&#1086;&#1082;&#1080;%2020171%20&#1091;&#1088;&#1077;&#1079;&#1072;&#1085;&#1085;&#1072;&#110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&#1069;&#1083;&#1077;&#1082;&#1090;&#1088;&#1086;&#1101;&#1085;&#1077;&#1088;&#1075;&#1080;&#1103;%20&#1080;%20&#1075;&#1072;&#1079;\&#1056;&#1077;&#1075;&#1091;&#1083;&#1080;&#1088;&#1086;&#1074;&#1072;&#1085;&#1080;&#1077;%20&#1085;&#1072;%202017%20&#1075;&#1086;&#1076;\&#1058;&#1072;&#1088;&#1080;&#1092;&#1099;\&#1077;&#1076;&#1080;&#1085;&#1099;&#1077;%20(&#1082;&#1086;&#1090;&#1083;&#1086;&#1074;&#1099;&#1077;)%20&#1090;&#1072;&#1088;&#1080;&#1092;&#1099;\&#1087;&#1088;&#1080;&#1083;.%203%20&#1080;%204%20&#1082;%20&#1087;&#1088;&#1086;&#1090;&#1086;&#1082;&#1086;&#1083;&#1091;%20&#1086;&#1090;%2027.12.2016%20&#8470;%2024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Users\odanilova\Desktop\&#1045;&#1088;&#1096;&#1086;&#1074;&#1072;\&#1056;&#1077;&#1075;&#1091;&#1083;&#1080;&#1088;&#1086;&#1074;&#1072;&#1085;&#1080;&#1077;\&#1058;&#1072;&#1088;&#1080;&#1092;&#1099;\&#1085;&#1072;%202017%20&#1075;&#1086;&#1076;\&#1080;&#1085;&#1076;&#1080;&#1074;&#1080;&#1076;&#1091;&#1072;&#1083;&#1100;&#1085;&#1099;&#1077;%20&#1090;&#1072;&#1088;&#1080;&#1092;&#1099;\!!!&#1056;&#1072;&#1089;&#1095;&#1077;&#1090;&#1099;%20&#1087;&#1086;&#1090;&#1077;&#1088;&#1080;,%20&#1080;&#1085;&#1076;.%20&#1090;&#1072;&#1088;&#1080;&#1092;&#1086;&#1074;%20&#1085;&#1072;%202017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Users\odanilova\Desktop\&#1045;&#1088;&#1096;&#1086;&#1074;&#1072;\&#1056;&#1077;&#1075;&#1091;&#1083;&#1080;&#1088;&#1086;&#1074;&#1072;&#1085;&#1080;&#1077;\&#1058;&#1072;&#1088;&#1080;&#1092;&#1099;\&#1085;&#1072;%202017%20&#1075;&#1086;&#1076;\&#1080;&#1085;&#1076;&#1080;&#1074;&#1080;&#1076;&#1091;&#1072;&#1083;&#1100;&#1085;&#1099;&#1077;%20&#1090;&#1072;&#1088;&#1080;&#1092;&#1099;\2016-12-08%20&#1087;&#1077;&#1088;&#1077;&#1090;&#1086;&#1082;&#108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Documents%20and%20Settings\ebazanova\Local%20Settings\Temporary%20Internet%20Files\OLK1FE\&#1087;&#1088;&#1080;&#1083;%20%203%20&#1080;%204%20&#1082;%20&#1087;&#1088;&#1086;&#1090;&#1086;&#1082;&#1086;&#1083;&#10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Users\odanilova\AppData\Local\Microsoft\Windows\Temporary%20Internet%20Files\OLKD6F0\&#1040;&#1085;&#1072;&#1083;&#1080;&#1079;%20&#1045;&#1050;&#1058;%20&#1050;&#1072;&#1088;&#1077;&#1083;&#1080;&#1103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Users\odanilova\Desktop\&#1045;&#1088;&#1096;&#1086;&#1074;&#1072;\&#1056;&#1077;&#1075;&#1091;&#1083;&#1080;&#1088;&#1086;&#1074;&#1072;&#1085;&#1080;&#1077;\&#1058;&#1072;&#1088;&#1080;&#1092;&#1099;\&#1085;&#1072;%202017%20&#1075;&#1086;&#1076;\&#1080;&#1085;&#1076;&#1080;&#1074;&#1080;&#1076;&#1091;&#1072;&#1083;&#1100;&#1085;&#1099;&#1077;%20&#1090;&#1072;&#1088;&#1080;&#1092;&#1099;\&#1040;&#1085;&#1072;&#1083;&#1080;&#1079;%20&#1045;&#1050;&#1058;%20&#1050;&#1072;&#1088;&#1077;&#1083;&#1080;&#1103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Documents%20and%20Settings\ebazanova\Local%20Settings\Temporary%20Internet%20Files\OLK1FE\&#1056;&#1072;&#1089;&#1095;&#1077;&#1090;%20&#1082;&#1086;&#1090;&#1086;&#1083;&#1086;&#1074;&#1099;&#1093;%20&#1090;&#1072;&#1088;&#1080;&#1092;&#1086;&#1074;%2027.07.%20%20(&#1082;&#1088;&#1080;&#1090;&#1077;&#1088;&#1080;&#1080;%20&#1086;&#1073;&#1098;&#1077;&#1084;&#1099;%20&#1087;&#1077;&#1088;&#1077;&#1089;&#1095;&#1077;&#1090;%20&#1085;&#1072;%206%20&#1084;&#1077;&#1089;.)%20-%20&#1082;&#1086;&#1087;&#1080;&#1103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&#1050;&#1072;&#1088;&#1077;&#1074;&#1072;\&#1076;&#1086;&#1082;&#1091;&#1084;&#1077;&#1085;&#1090;&#1099;\&#1050;&#1072;&#1088;&#1077;&#1074;&#1072;\&#1056;&#1072;&#1079;&#1085;&#1086;&#1077;%20&#1050;&#1072;&#1088;&#1077;&#1074;&#1072;\&#1056;&#1077;&#1075;&#1091;&#1083;&#1080;&#1088;&#1086;&#1074;&#1072;&#1085;&#1080;&#1077;%20&#1085;&#1072;%202017%20&#1075;&#1086;&#1076;\&#1086;&#1090;%20&#1072;&#1091;&#1076;&#1080;&#1090;&#1086;&#1088;&#1086;&#1074;\&#1056;&#1072;&#1089;&#1095;&#1077;&#1090;%20&#1082;&#1086;&#1090;&#1083;&#1086;&#1074;&#1099;&#1093;%20&#1090;&#1072;&#1088;&#1080;&#1092;&#1086;&#1074;%20(end)\&#1050;&#1040;&#1056;&#1045;&#1051;&#1048;&#1071;%202017%20&#1056;&#1069;&#1050;%20&#1082;%20&#1086;&#1090;&#1095;&#1077;&#1090;&#1091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Documents%20and%20Settings\ebazanova\Local%20Settings\Temporary%20Internet%20Files\OLK1FE\&#1087;&#1088;&#1080;&#1083;%20%203%20&#1080;%204%20&#1082;%20&#1087;&#1088;&#1086;&#1090;&#1086;&#1082;&#1086;&#1083;&#1091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разбивка"/>
      <sheetName val="Расчет потерь (МОЕ) без ПКС"/>
      <sheetName val="Расчет тарифа на потери"/>
      <sheetName val="для ЕА"/>
      <sheetName val="расчет инд. тарифов"/>
      <sheetName val="прил 2 прот. "/>
      <sheetName val="прил. 2 ИТОГ (28.07)"/>
      <sheetName val="прил 3 прот. "/>
      <sheetName val="прил 3 ИТОГ (28.07)"/>
      <sheetName val="приложение 4 прот."/>
      <sheetName val="приложение 5 (ИТ) прот."/>
      <sheetName val="приложение (ИТ) пост."/>
    </sheetNames>
    <sheetDataSet>
      <sheetData sheetId="2">
        <row r="8">
          <cell r="B8">
            <v>2024.737638446231</v>
          </cell>
          <cell r="C8">
            <v>2006.2654436274013</v>
          </cell>
          <cell r="D8">
            <v>1825.8947350762724</v>
          </cell>
        </row>
        <row r="20">
          <cell r="B20">
            <v>1595.737638446231</v>
          </cell>
          <cell r="C20">
            <v>1186.9354436274014</v>
          </cell>
          <cell r="D20">
            <v>1332.3147350762724</v>
          </cell>
        </row>
        <row r="26">
          <cell r="B26">
            <v>1546.737638446231</v>
          </cell>
          <cell r="C26">
            <v>1186.9354436274014</v>
          </cell>
          <cell r="D26">
            <v>1332.3147350762724</v>
          </cell>
        </row>
        <row r="32">
          <cell r="D32">
            <v>1186.9354436274014</v>
          </cell>
        </row>
        <row r="36">
          <cell r="D36">
            <v>43.77823754129934</v>
          </cell>
        </row>
        <row r="37">
          <cell r="D37">
            <v>58293.638941915524</v>
          </cell>
        </row>
        <row r="39">
          <cell r="B39">
            <v>2045.737638446231</v>
          </cell>
        </row>
        <row r="46">
          <cell r="B46">
            <v>7305.303237084555</v>
          </cell>
          <cell r="C46">
            <v>6708.330272355254</v>
          </cell>
          <cell r="D46">
            <v>5367.423499601135</v>
          </cell>
        </row>
        <row r="49">
          <cell r="B49">
            <v>1545.737638446231</v>
          </cell>
          <cell r="C49">
            <v>1176.9354436274014</v>
          </cell>
          <cell r="D49">
            <v>1322.3147350762724</v>
          </cell>
        </row>
        <row r="54">
          <cell r="B54">
            <v>1545.737638446231</v>
          </cell>
          <cell r="C54">
            <v>1176.9354436274014</v>
          </cell>
          <cell r="D54">
            <v>1322.3147350762724</v>
          </cell>
        </row>
      </sheetData>
      <sheetData sheetId="4">
        <row r="46">
          <cell r="C46">
            <v>341062.1237734763</v>
          </cell>
          <cell r="D46">
            <v>730.028098193834</v>
          </cell>
          <cell r="E46">
            <v>3.467120071903734</v>
          </cell>
          <cell r="F46">
            <v>341062.1237734763</v>
          </cell>
          <cell r="G46">
            <v>750.134629520408</v>
          </cell>
          <cell r="H46">
            <v>3.813265837090214</v>
          </cell>
          <cell r="I46">
            <v>340311.60096211906</v>
          </cell>
          <cell r="J46">
            <v>611.8465639193711</v>
          </cell>
          <cell r="K46">
            <v>3.6353444109108244</v>
          </cell>
        </row>
        <row r="47">
          <cell r="C47">
            <v>73891.95945065707</v>
          </cell>
          <cell r="D47">
            <v>264.763908492792</v>
          </cell>
          <cell r="E47">
            <v>1.0085835352704877</v>
          </cell>
          <cell r="F47">
            <v>73891.95945065707</v>
          </cell>
          <cell r="G47">
            <v>205.31977908694662</v>
          </cell>
          <cell r="H47">
            <v>1.02735229925142</v>
          </cell>
          <cell r="I47">
            <v>73891.95945065707</v>
          </cell>
          <cell r="J47">
            <v>419.11752899471395</v>
          </cell>
          <cell r="K47">
            <v>1.2210879009625395</v>
          </cell>
        </row>
        <row r="48">
          <cell r="C48">
            <v>23481.290400699534</v>
          </cell>
          <cell r="D48">
            <v>24.59601640234157</v>
          </cell>
          <cell r="E48">
            <v>0.26045578322833945</v>
          </cell>
          <cell r="F48">
            <v>23481.290400699534</v>
          </cell>
          <cell r="G48">
            <v>20.92009124048037</v>
          </cell>
          <cell r="H48">
            <v>0.30193421622023714</v>
          </cell>
          <cell r="I48">
            <v>23481.290400699534</v>
          </cell>
          <cell r="J48">
            <v>22.804881435008745</v>
          </cell>
          <cell r="K48">
            <v>0.3038190064147651</v>
          </cell>
        </row>
        <row r="49">
          <cell r="C49">
            <v>464236.01150931965</v>
          </cell>
          <cell r="D49">
            <v>227.0038409376271</v>
          </cell>
          <cell r="E49">
            <v>2.2848134089676795</v>
          </cell>
          <cell r="F49">
            <v>464236.01150931965</v>
          </cell>
          <cell r="G49">
            <v>205.85999999999999</v>
          </cell>
          <cell r="H49">
            <v>2.835341001735483</v>
          </cell>
          <cell r="I49">
            <v>464236.01150931965</v>
          </cell>
          <cell r="J49">
            <v>203.4706792327065</v>
          </cell>
          <cell r="K49">
            <v>2.8329516809681925</v>
          </cell>
        </row>
        <row r="50">
          <cell r="C50">
            <v>136183.87999999998</v>
          </cell>
          <cell r="D50">
            <v>0</v>
          </cell>
          <cell r="E50">
            <v>4.0945125080189495</v>
          </cell>
          <cell r="F50">
            <v>136183.87999999998</v>
          </cell>
          <cell r="G50">
            <v>0</v>
          </cell>
          <cell r="H50">
            <v>4.554033783320363</v>
          </cell>
          <cell r="I50">
            <v>136220.8525857623</v>
          </cell>
          <cell r="J50">
            <v>0</v>
          </cell>
          <cell r="K50">
            <v>4.5552701587608215</v>
          </cell>
        </row>
        <row r="51">
          <cell r="C51">
            <v>7432.848782771536</v>
          </cell>
          <cell r="D51">
            <v>356.9618429610519</v>
          </cell>
          <cell r="E51">
            <v>1.7998673595534607</v>
          </cell>
          <cell r="F51">
            <v>7432.848782771536</v>
          </cell>
          <cell r="G51">
            <v>261.6422895017504</v>
          </cell>
          <cell r="H51">
            <v>1.737921818064361</v>
          </cell>
          <cell r="I51">
            <v>7432.848782771536</v>
          </cell>
          <cell r="J51">
            <v>293.961284453241</v>
          </cell>
          <cell r="K51">
            <v>1.7702408130158533</v>
          </cell>
        </row>
        <row r="52">
          <cell r="C52">
            <v>27684.350747133096</v>
          </cell>
          <cell r="D52">
            <v>158.08782435594009</v>
          </cell>
          <cell r="E52">
            <v>0.6009463478242207</v>
          </cell>
          <cell r="F52">
            <v>27684.350747133096</v>
          </cell>
          <cell r="G52">
            <v>152.3052099732506</v>
          </cell>
          <cell r="H52">
            <v>0.6887911084708154</v>
          </cell>
          <cell r="I52">
            <v>27684.350747133096</v>
          </cell>
          <cell r="J52">
            <v>144.38933169225365</v>
          </cell>
          <cell r="K52">
            <v>0.6808752301898204</v>
          </cell>
        </row>
        <row r="53">
          <cell r="C53">
            <v>222406.11000000004</v>
          </cell>
          <cell r="D53">
            <v>124.80386608119913</v>
          </cell>
          <cell r="E53">
            <v>0.46061129625583125</v>
          </cell>
          <cell r="F53">
            <v>222406.11000000004</v>
          </cell>
          <cell r="G53">
            <v>117.61737587037716</v>
          </cell>
          <cell r="H53">
            <v>0.4566332037242852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26258.510000000002</v>
          </cell>
          <cell r="D54">
            <v>96.32741517904108</v>
          </cell>
          <cell r="E54">
            <v>1.8194976067553326</v>
          </cell>
          <cell r="F54">
            <v>26258.510000000002</v>
          </cell>
          <cell r="G54">
            <v>88.08411634055037</v>
          </cell>
          <cell r="H54">
            <v>1.9349773909569574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634.7868735509185</v>
          </cell>
          <cell r="D55">
            <v>24.089462348635855</v>
          </cell>
          <cell r="E55">
            <v>0.059307833066745516</v>
          </cell>
          <cell r="F55">
            <v>634.7868735509185</v>
          </cell>
          <cell r="G55">
            <v>17.559987929581382</v>
          </cell>
          <cell r="H55">
            <v>0.05127703301990282</v>
          </cell>
          <cell r="I55">
            <v>634.7868735509185</v>
          </cell>
          <cell r="J55">
            <v>19.766639845991545</v>
          </cell>
          <cell r="K55">
            <v>0.053483684936312975</v>
          </cell>
        </row>
        <row r="56">
          <cell r="C56">
            <v>10.010000000000002</v>
          </cell>
          <cell r="D56">
            <v>46.19319685703992</v>
          </cell>
          <cell r="E56">
            <v>0.04706155436999875</v>
          </cell>
          <cell r="F56">
            <v>10.010000000000002</v>
          </cell>
          <cell r="G56">
            <v>45.76570101234215</v>
          </cell>
          <cell r="H56">
            <v>0.0467209823888843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11.57</v>
          </cell>
          <cell r="D57">
            <v>111.51458726033049</v>
          </cell>
          <cell r="E57">
            <v>0.1115172883094091</v>
          </cell>
          <cell r="F57">
            <v>11.57</v>
          </cell>
          <cell r="G57">
            <v>89.01646360407162</v>
          </cell>
          <cell r="H57">
            <v>0.08901904492178464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10487.59</v>
          </cell>
          <cell r="D58">
            <v>54.04842739734766</v>
          </cell>
          <cell r="E58">
            <v>2.324570563873378</v>
          </cell>
          <cell r="F58">
            <v>10487.59</v>
          </cell>
          <cell r="G58">
            <v>53.555388429448655</v>
          </cell>
          <cell r="H58">
            <v>2.9413100000050942</v>
          </cell>
          <cell r="I58">
            <v>0</v>
          </cell>
          <cell r="J58">
            <v>0</v>
          </cell>
          <cell r="K58">
            <v>0</v>
          </cell>
        </row>
      </sheetData>
      <sheetData sheetId="5">
        <row r="44">
          <cell r="D44">
            <v>142.88959582344722</v>
          </cell>
          <cell r="E44">
            <v>23.631372928772002</v>
          </cell>
          <cell r="F44">
            <v>118.15686464386</v>
          </cell>
          <cell r="L44">
            <v>47410.80689246732</v>
          </cell>
          <cell r="M44">
            <v>215741.99706634373</v>
          </cell>
        </row>
        <row r="45">
          <cell r="D45">
            <v>0.42010417655279664</v>
          </cell>
          <cell r="E45">
            <v>0.08021040456136291</v>
          </cell>
          <cell r="F45">
            <v>0.401052022806814</v>
          </cell>
          <cell r="L45">
            <v>95.20457212157463</v>
          </cell>
          <cell r="M45">
            <v>534.3275195176636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разбивка"/>
      <sheetName val="Расчет потерь (МОЕ) без ПКС"/>
      <sheetName val="Расчет тарифа на потери"/>
      <sheetName val="приложение 5 (ТСО)"/>
      <sheetName val="приложение 6 (ИТ)"/>
      <sheetName val="расчет инд. тарифов"/>
      <sheetName val="прил 2 "/>
      <sheetName val="прил 3 "/>
      <sheetName val="приложение (ИТ) пост."/>
    </sheetNames>
    <sheetDataSet>
      <sheetData sheetId="6">
        <row r="20">
          <cell r="E20">
            <v>2166188.63</v>
          </cell>
        </row>
        <row r="21">
          <cell r="E21">
            <v>447.55</v>
          </cell>
        </row>
        <row r="22">
          <cell r="E22">
            <v>4998.41</v>
          </cell>
          <cell r="F22">
            <v>5243.330000000001</v>
          </cell>
          <cell r="K22">
            <v>1539.921047630126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 ээ"/>
      <sheetName val="Лист1"/>
      <sheetName val="перетоки ээ(год)"/>
      <sheetName val="перетоки ээ(1полуг)"/>
      <sheetName val="перетоки ээ(2полуг)"/>
    </sheetNames>
    <sheetDataSet>
      <sheetData sheetId="3">
        <row r="36">
          <cell r="D36">
            <v>2541</v>
          </cell>
          <cell r="E36">
            <v>91855.5</v>
          </cell>
          <cell r="G36">
            <v>58428.03574357239</v>
          </cell>
          <cell r="H36">
            <v>31.5</v>
          </cell>
          <cell r="J36">
            <v>1537.9671961590302</v>
          </cell>
          <cell r="O36">
            <v>691.4029598366133</v>
          </cell>
        </row>
        <row r="37">
          <cell r="E37">
            <v>75256.306</v>
          </cell>
          <cell r="F37">
            <v>737.74</v>
          </cell>
          <cell r="G37">
            <v>1477.2680685816886</v>
          </cell>
          <cell r="J37">
            <v>1055.43761415903</v>
          </cell>
          <cell r="O37">
            <v>439.9960475012052</v>
          </cell>
        </row>
        <row r="38">
          <cell r="E38">
            <v>622.4939999999998</v>
          </cell>
          <cell r="G38">
            <v>56950.767674990704</v>
          </cell>
          <cell r="J38">
            <v>265.200309</v>
          </cell>
          <cell r="O38">
            <v>251.40691233540807</v>
          </cell>
        </row>
        <row r="39">
          <cell r="F39">
            <v>7039.76</v>
          </cell>
        </row>
        <row r="42">
          <cell r="J42">
            <v>217.329273</v>
          </cell>
        </row>
        <row r="43">
          <cell r="D43">
            <v>2541</v>
          </cell>
        </row>
        <row r="45">
          <cell r="E45">
            <v>15976.7</v>
          </cell>
        </row>
        <row r="67">
          <cell r="D67">
            <v>11003.191004144457</v>
          </cell>
          <cell r="E67">
            <v>369992.32935068867</v>
          </cell>
          <cell r="F67">
            <v>517455.3364586268</v>
          </cell>
          <cell r="G67">
            <v>344000.7238159001</v>
          </cell>
          <cell r="H67">
            <v>2021.2462572380139</v>
          </cell>
          <cell r="J67">
            <v>13179.41680384097</v>
          </cell>
          <cell r="O67">
            <v>8095.10218280076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.12.2016"/>
    </sheetNames>
    <sheetDataSet>
      <sheetData sheetId="0">
        <row r="20">
          <cell r="F20">
            <v>400000</v>
          </cell>
        </row>
        <row r="44">
          <cell r="F44">
            <v>10940.1</v>
          </cell>
        </row>
        <row r="51">
          <cell r="F51">
            <v>21000</v>
          </cell>
        </row>
        <row r="97">
          <cell r="F97">
            <v>24250</v>
          </cell>
        </row>
        <row r="214">
          <cell r="F214">
            <v>648468</v>
          </cell>
        </row>
        <row r="335">
          <cell r="F335">
            <v>973337.6399999999</v>
          </cell>
        </row>
        <row r="789">
          <cell r="F789">
            <v>556041.7000000001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H15">
            <v>39792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.12.2016"/>
    </sheetNames>
    <sheetDataSet>
      <sheetData sheetId="0">
        <row r="57">
          <cell r="F57">
            <v>2860</v>
          </cell>
        </row>
        <row r="60">
          <cell r="F60">
            <v>16170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токи ээ июль"/>
      <sheetName val="перетоки ээ(1полуг)+ июль"/>
      <sheetName val="перетоки ээ(2полуг) 5 мес"/>
      <sheetName val="перетоки ээ(год)"/>
      <sheetName val="ПО ээ"/>
      <sheetName val="Лист1"/>
      <sheetName val="перетоки ээ(1полуг)"/>
      <sheetName val="перетоки ээ(2полуг)"/>
      <sheetName val="перетоки ээ(2полуг) проверка"/>
      <sheetName val="перетоки ээ(2полуг) июль провер"/>
      <sheetName val="перетоки ээ(2полуг) июль неп"/>
    </sheetNames>
    <sheetDataSet>
      <sheetData sheetId="0">
        <row r="67">
          <cell r="C67">
            <v>77877.53232570979</v>
          </cell>
          <cell r="Q67">
            <v>265603.3079924459</v>
          </cell>
        </row>
      </sheetData>
      <sheetData sheetId="2">
        <row r="67">
          <cell r="C67">
            <v>397150.45592854917</v>
          </cell>
          <cell r="Q67">
            <v>1328973.9443690442</v>
          </cell>
        </row>
      </sheetData>
      <sheetData sheetId="6">
        <row r="67">
          <cell r="C67">
            <v>1482462.9717519982</v>
          </cell>
          <cell r="Q67">
            <v>2769128.9142572386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3 испр"/>
      <sheetName val="прил 4"/>
      <sheetName val="прил. 5"/>
    </sheetNames>
    <sheetDataSet>
      <sheetData sheetId="1">
        <row r="30">
          <cell r="A30">
            <v>3652254.11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ВВ на 2017 год"/>
      <sheetName val="Расчет тарифа покупки потерь"/>
      <sheetName val="прил. 3 (КЭ)"/>
      <sheetName val="приложение 4 (ТСО)"/>
      <sheetName val="расчет инд. тарифов"/>
      <sheetName val="МВА"/>
      <sheetName val="Расчет ставки ВН1"/>
      <sheetName val="ФСК"/>
      <sheetName val="КПМЭС"/>
    </sheetNames>
    <sheetDataSet>
      <sheetData sheetId="6">
        <row r="31">
          <cell r="G31">
            <v>235993.34402215894</v>
          </cell>
        </row>
        <row r="32">
          <cell r="G32">
            <v>84.0157</v>
          </cell>
        </row>
      </sheetData>
      <sheetData sheetId="7">
        <row r="5">
          <cell r="E5">
            <v>286306.0613823944</v>
          </cell>
        </row>
      </sheetData>
      <sheetData sheetId="8">
        <row r="65">
          <cell r="N65">
            <v>0.9080480276063658</v>
          </cell>
          <cell r="U65">
            <v>0.135716</v>
          </cell>
          <cell r="V65">
            <v>0.016292</v>
          </cell>
        </row>
        <row r="66">
          <cell r="N66">
            <v>0.6673549471689944</v>
          </cell>
          <cell r="U66">
            <v>0.067535</v>
          </cell>
          <cell r="V66">
            <v>0.017988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ээ"/>
      <sheetName val="Лист1"/>
      <sheetName val="перетоки ээ(год)"/>
      <sheetName val="перетоки ээ(1полуг)"/>
      <sheetName val="перетоки ээ(2полуг)"/>
    </sheetNames>
    <sheetDataSet>
      <sheetData sheetId="3">
        <row r="36">
          <cell r="I36">
            <v>386.56430481321786</v>
          </cell>
          <cell r="K36">
            <v>26.2</v>
          </cell>
          <cell r="L36">
            <v>62.6</v>
          </cell>
          <cell r="M36">
            <v>43.22979561882585</v>
          </cell>
          <cell r="N36">
            <v>649.3</v>
          </cell>
        </row>
        <row r="37">
          <cell r="C37">
            <v>142889.59582344722</v>
          </cell>
          <cell r="I37">
            <v>44.25379688252117</v>
          </cell>
          <cell r="N37">
            <v>539.9330716425</v>
          </cell>
        </row>
        <row r="38">
          <cell r="C38">
            <v>420.1041765527966</v>
          </cell>
          <cell r="I38">
            <v>342.3105079306967</v>
          </cell>
          <cell r="N38">
            <v>109.36692835750002</v>
          </cell>
        </row>
        <row r="67">
          <cell r="I67">
            <v>5551.442999999999</v>
          </cell>
          <cell r="K67">
            <v>981.4925</v>
          </cell>
          <cell r="L67">
            <v>1315.8100000000002</v>
          </cell>
          <cell r="M67">
            <v>1894.846</v>
          </cell>
          <cell r="N67">
            <v>10114.949131999865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3 испр"/>
      <sheetName val="прил 4"/>
      <sheetName val="прил. 5"/>
      <sheetName val="прил 3 испр (с 01.08.)"/>
      <sheetName val="прил 4 (28.07)"/>
      <sheetName val="прил 4 (испр)"/>
    </sheetNames>
    <sheetDataSet>
      <sheetData sheetId="0">
        <row r="8">
          <cell r="E8">
            <v>201.46250143295904</v>
          </cell>
          <cell r="F8">
            <v>248.45707448255905</v>
          </cell>
        </row>
        <row r="9">
          <cell r="E9">
            <v>70.54079491777215</v>
          </cell>
          <cell r="F9">
            <v>79.87374488828226</v>
          </cell>
          <cell r="N9">
            <v>151.28738333333334</v>
          </cell>
        </row>
      </sheetData>
      <sheetData sheetId="1">
        <row r="8">
          <cell r="B8">
            <v>1034.7405975413724</v>
          </cell>
          <cell r="M8">
            <v>2766.8076932296317</v>
          </cell>
        </row>
        <row r="9">
          <cell r="E9">
            <v>70.53509037909807</v>
          </cell>
          <cell r="F9">
            <v>79.83011503719497</v>
          </cell>
          <cell r="N9">
            <v>151.02693400881287</v>
          </cell>
        </row>
        <row r="16">
          <cell r="H16">
            <v>120.5662914026831</v>
          </cell>
          <cell r="I16">
            <v>218.75164841169683</v>
          </cell>
          <cell r="J16">
            <v>110.24838055110982</v>
          </cell>
          <cell r="K16">
            <v>7.4769086396451785</v>
          </cell>
          <cell r="L16">
            <v>16.625016046696086</v>
          </cell>
        </row>
        <row r="17">
          <cell r="G17">
            <v>0.546369623469956</v>
          </cell>
        </row>
        <row r="26">
          <cell r="B26">
            <v>1034.7405975413724</v>
          </cell>
          <cell r="C26">
            <v>1402.819193225754</v>
          </cell>
          <cell r="D26">
            <v>81.44497656887751</v>
          </cell>
          <cell r="E26">
            <v>382.978675614396</v>
          </cell>
          <cell r="F26">
            <v>464.5605916025079</v>
          </cell>
          <cell r="H26">
            <v>252.07047770604515</v>
          </cell>
          <cell r="I26">
            <v>459.2937094771471</v>
          </cell>
          <cell r="J26">
            <v>240.43966756993544</v>
          </cell>
          <cell r="K26">
            <v>16.74184381281478</v>
          </cell>
          <cell r="L26">
            <v>31.672998458282247</v>
          </cell>
          <cell r="M26">
            <v>4366.762731577133</v>
          </cell>
        </row>
      </sheetData>
      <sheetData sheetId="2">
        <row r="8">
          <cell r="D8">
            <v>0.9080480276063658</v>
          </cell>
        </row>
        <row r="13">
          <cell r="E13">
            <v>1880.6324989041568</v>
          </cell>
        </row>
      </sheetData>
      <sheetData sheetId="5">
        <row r="8">
          <cell r="B8">
            <v>0.016292</v>
          </cell>
          <cell r="C8">
            <v>0.135716</v>
          </cell>
        </row>
        <row r="17">
          <cell r="B17">
            <v>0.0029980000000000002</v>
          </cell>
          <cell r="C17">
            <v>0.011255833333333333</v>
          </cell>
        </row>
        <row r="18">
          <cell r="B18">
            <v>0.006298379601410886</v>
          </cell>
          <cell r="C18">
            <v>0.0217110541683638</v>
          </cell>
        </row>
        <row r="27">
          <cell r="C27">
            <v>0.02171105416836383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Э"/>
      <sheetName val="Баланс М"/>
      <sheetName val="ЕКТ"/>
      <sheetName val="АНАЛИЗ"/>
      <sheetName val="Структура населения"/>
      <sheetName val="Расчет котловых по населению"/>
      <sheetName val="Показатели"/>
    </sheetNames>
    <sheetDataSet>
      <sheetData sheetId="0">
        <row r="37">
          <cell r="H37">
            <v>0</v>
          </cell>
        </row>
      </sheetData>
      <sheetData sheetId="2">
        <row r="39">
          <cell r="J39">
            <v>1539.921047630126</v>
          </cell>
        </row>
        <row r="41">
          <cell r="J41">
            <v>709.412573053855</v>
          </cell>
        </row>
        <row r="43">
          <cell r="J43">
            <v>709.4125730538548</v>
          </cell>
        </row>
        <row r="45">
          <cell r="J45">
            <v>709.4125730538548</v>
          </cell>
        </row>
        <row r="46">
          <cell r="E46">
            <v>15.047982411586162</v>
          </cell>
        </row>
        <row r="47">
          <cell r="E47">
            <v>1278.8400000000001</v>
          </cell>
          <cell r="J47">
            <v>1539.921047630126</v>
          </cell>
        </row>
        <row r="87">
          <cell r="H87">
            <v>1946577.83</v>
          </cell>
          <cell r="I87">
            <v>1980346.76</v>
          </cell>
          <cell r="M87">
            <v>2166188.63</v>
          </cell>
        </row>
        <row r="88">
          <cell r="F88">
            <v>148.1499999999999</v>
          </cell>
          <cell r="G88">
            <v>280.99999999999994</v>
          </cell>
          <cell r="H88">
            <v>426.24000000000024</v>
          </cell>
          <cell r="I88">
            <v>938.7300000000005</v>
          </cell>
          <cell r="K88">
            <v>155.56</v>
          </cell>
          <cell r="L88">
            <v>295.05</v>
          </cell>
          <cell r="M88">
            <v>447.55</v>
          </cell>
          <cell r="N88">
            <v>985.6699999999998</v>
          </cell>
        </row>
        <row r="89">
          <cell r="F89">
            <v>1466.49</v>
          </cell>
          <cell r="G89">
            <v>4435.14</v>
          </cell>
          <cell r="H89">
            <v>4515.73</v>
          </cell>
          <cell r="I89">
            <v>4758.57</v>
          </cell>
          <cell r="M89">
            <v>4998.41</v>
          </cell>
        </row>
      </sheetData>
      <sheetData sheetId="3">
        <row r="24">
          <cell r="J2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Э"/>
      <sheetName val="Баланс М"/>
      <sheetName val="ЕКТ"/>
      <sheetName val="АНАЛИЗ"/>
      <sheetName val="Структура населения"/>
      <sheetName val="Расчет котловых по населению"/>
      <sheetName val="Показатели"/>
    </sheetNames>
    <sheetDataSet>
      <sheetData sheetId="1">
        <row r="22">
          <cell r="E22">
            <v>0.6283183089776591</v>
          </cell>
        </row>
      </sheetData>
      <sheetData sheetId="2">
        <row r="40">
          <cell r="E40">
            <v>131.50418630336205</v>
          </cell>
        </row>
        <row r="42">
          <cell r="E42">
            <v>240.54206106545024</v>
          </cell>
        </row>
        <row r="44">
          <cell r="E44">
            <v>130.19128701882562</v>
          </cell>
        </row>
        <row r="48">
          <cell r="E48">
            <v>2.7976069969999995</v>
          </cell>
        </row>
        <row r="50">
          <cell r="E50">
            <v>4.626244353718264</v>
          </cell>
        </row>
        <row r="52">
          <cell r="E52">
            <v>2.7491318500577036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 Баланс ЭЭ"/>
      <sheetName val="5 Баланс М"/>
      <sheetName val="ЕКТ  в пределах ФАС"/>
      <sheetName val="Тариф покупки потерь"/>
      <sheetName val="НАС регион"/>
      <sheetName val="ШАБЛОН нас"/>
      <sheetName val="Показатели"/>
      <sheetName val="ВН 1"/>
      <sheetName val="ТВ"/>
    </sheetNames>
    <sheetDataSet>
      <sheetData sheetId="1">
        <row r="21">
          <cell r="M21">
            <v>69.9073338235139</v>
          </cell>
        </row>
      </sheetData>
      <sheetData sheetId="2">
        <row r="77">
          <cell r="K77">
            <v>1295364.9300000002</v>
          </cell>
          <cell r="L77">
            <v>2076530.8600000003</v>
          </cell>
          <cell r="M77">
            <v>2166188.63</v>
          </cell>
          <cell r="N77">
            <v>2175871.379183903</v>
          </cell>
        </row>
        <row r="78">
          <cell r="N78">
            <v>982.3490967514034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 Баланс ЭЭ"/>
      <sheetName val="5 Баланс М"/>
      <sheetName val="ЕКТ  в пределах ФАС"/>
      <sheetName val="Тариф покупки потерь"/>
      <sheetName val="НАС регион"/>
      <sheetName val="ШАБЛОН нас"/>
      <sheetName val="Показатели"/>
      <sheetName val="ВН 1"/>
      <sheetName val="ТВ"/>
    </sheetNames>
    <sheetDataSet>
      <sheetData sheetId="0">
        <row r="21">
          <cell r="E21">
            <v>715.2142353342967</v>
          </cell>
          <cell r="F21">
            <v>41.79600546605067</v>
          </cell>
          <cell r="G21">
            <v>201.46250143295904</v>
          </cell>
          <cell r="H21">
            <v>248.45707448255905</v>
          </cell>
          <cell r="J21">
            <v>690.0333108914572</v>
          </cell>
          <cell r="K21">
            <v>39.648971102826835</v>
          </cell>
          <cell r="L21">
            <v>181.550454181437</v>
          </cell>
          <cell r="M21">
            <v>216.30676811994886</v>
          </cell>
        </row>
        <row r="22">
          <cell r="E22">
            <v>1.2611649999999999</v>
          </cell>
          <cell r="J22">
            <v>1.1671880000000001</v>
          </cell>
        </row>
      </sheetData>
      <sheetData sheetId="1">
        <row r="21">
          <cell r="E21">
            <v>133.89899717783314</v>
          </cell>
          <cell r="F21">
            <v>15.366151662436977</v>
          </cell>
          <cell r="J21">
            <v>127.86118141247998</v>
          </cell>
          <cell r="K21">
            <v>14.576786943302437</v>
          </cell>
          <cell r="L21">
            <v>63.56869453208963</v>
          </cell>
          <cell r="M21">
            <v>69.53798711241485</v>
          </cell>
        </row>
        <row r="22">
          <cell r="E22">
            <v>0.6283183089776591</v>
          </cell>
          <cell r="J22">
            <v>0.546369623469956</v>
          </cell>
        </row>
        <row r="24">
          <cell r="E24">
            <v>78.10723519000767</v>
          </cell>
          <cell r="F24">
            <v>0.10333482800924126</v>
          </cell>
          <cell r="G24">
            <v>23.516242063518604</v>
          </cell>
          <cell r="H24">
            <v>49.56057125179783</v>
          </cell>
          <cell r="J24">
            <v>76.75355444252531</v>
          </cell>
          <cell r="K24">
            <v>0.12388186339435515</v>
          </cell>
          <cell r="L24">
            <v>23.763174868945107</v>
          </cell>
          <cell r="M24">
            <v>35.44533882484833</v>
          </cell>
        </row>
      </sheetData>
      <sheetData sheetId="2">
        <row r="42">
          <cell r="F42">
            <v>473.76</v>
          </cell>
          <cell r="K42">
            <v>709.4125730539082</v>
          </cell>
        </row>
        <row r="48">
          <cell r="F48">
            <v>1278.84</v>
          </cell>
          <cell r="K48">
            <v>1539.9210476301796</v>
          </cell>
        </row>
        <row r="77">
          <cell r="F77">
            <v>1177094.24</v>
          </cell>
          <cell r="G77">
            <v>1883213.42</v>
          </cell>
          <cell r="H77">
            <v>1946577.83</v>
          </cell>
          <cell r="I77">
            <v>1980346.76</v>
          </cell>
          <cell r="K77">
            <v>1295364.9299999995</v>
          </cell>
          <cell r="L77">
            <v>2076530.8600000003</v>
          </cell>
          <cell r="M77">
            <v>2166188.63</v>
          </cell>
          <cell r="N77">
            <v>2207332.310000001</v>
          </cell>
        </row>
      </sheetData>
      <sheetData sheetId="7">
        <row r="17">
          <cell r="G17">
            <v>1034.7405975413724</v>
          </cell>
        </row>
        <row r="27">
          <cell r="G27">
            <v>213.6316280203421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3 испр"/>
      <sheetName val="прил 4"/>
      <sheetName val="прил. 5"/>
      <sheetName val="прил 3 испр (с 01.08.)"/>
      <sheetName val="прил 3 (28.07)"/>
      <sheetName val="прил 4 (28.07)"/>
    </sheetNames>
    <sheetDataSet>
      <sheetData sheetId="5">
        <row r="19">
          <cell r="F19">
            <v>2207332.310000001</v>
          </cell>
        </row>
        <row r="20">
          <cell r="F20">
            <v>985.6699999999998</v>
          </cell>
        </row>
        <row r="29">
          <cell r="F29">
            <v>2175871.379183903</v>
          </cell>
        </row>
        <row r="30">
          <cell r="F30">
            <v>982.3490967514034</v>
          </cell>
        </row>
        <row r="31">
          <cell r="F31">
            <v>5179.325395534348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54"/>
  <sheetViews>
    <sheetView tabSelected="1" view="pageBreakPreview" zoomScaleNormal="70" zoomScaleSheetLayoutView="100" workbookViewId="0" topLeftCell="A19">
      <selection activeCell="B54" sqref="B54"/>
    </sheetView>
  </sheetViews>
  <sheetFormatPr defaultColWidth="15.00390625" defaultRowHeight="12.75"/>
  <cols>
    <col min="1" max="1" width="45.25390625" style="1" customWidth="1"/>
    <col min="2" max="9" width="16.875" style="1" customWidth="1"/>
    <col min="10" max="10" width="16.875" style="3" customWidth="1"/>
    <col min="11" max="13" width="16.875" style="1" customWidth="1"/>
    <col min="14" max="14" width="18.00390625" style="1" customWidth="1"/>
    <col min="15" max="15" width="11.625" style="1" customWidth="1"/>
    <col min="16" max="16" width="42.00390625" style="1" customWidth="1"/>
    <col min="17" max="17" width="14.125" style="1" customWidth="1"/>
    <col min="18" max="18" width="32.625" style="1" customWidth="1"/>
    <col min="19" max="19" width="12.375" style="1" bestFit="1" customWidth="1"/>
    <col min="20" max="250" width="9.125" style="1" customWidth="1"/>
    <col min="251" max="251" width="39.375" style="1" customWidth="1"/>
    <col min="252" max="16384" width="15.00390625" style="1" customWidth="1"/>
  </cols>
  <sheetData>
    <row r="1" spans="8:13" ht="30" customHeight="1">
      <c r="H1" s="193" t="s">
        <v>107</v>
      </c>
      <c r="I1" s="193"/>
      <c r="J1" s="193"/>
      <c r="K1" s="193"/>
      <c r="L1" s="193"/>
      <c r="M1" s="193"/>
    </row>
    <row r="2" ht="6.75" customHeight="1"/>
    <row r="3" spans="1:13" s="4" customFormat="1" ht="18.75">
      <c r="A3" s="194" t="s">
        <v>106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s="4" customFormat="1" ht="7.5" customHeight="1" thickBot="1">
      <c r="A4" s="5"/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</row>
    <row r="5" spans="1:13" s="4" customFormat="1" ht="15.75" customHeight="1">
      <c r="A5" s="195" t="s">
        <v>0</v>
      </c>
      <c r="B5" s="197" t="s">
        <v>1</v>
      </c>
      <c r="C5" s="197"/>
      <c r="D5" s="197"/>
      <c r="E5" s="197"/>
      <c r="F5" s="197"/>
      <c r="G5" s="198" t="s">
        <v>2</v>
      </c>
      <c r="H5" s="191" t="s">
        <v>3</v>
      </c>
      <c r="I5" s="191" t="s">
        <v>4</v>
      </c>
      <c r="J5" s="191" t="s">
        <v>5</v>
      </c>
      <c r="K5" s="191" t="s">
        <v>6</v>
      </c>
      <c r="L5" s="191" t="s">
        <v>7</v>
      </c>
      <c r="M5" s="200" t="s">
        <v>8</v>
      </c>
    </row>
    <row r="6" spans="1:13" s="4" customFormat="1" ht="155.25" customHeight="1">
      <c r="A6" s="196"/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  <c r="G6" s="199"/>
      <c r="H6" s="192"/>
      <c r="I6" s="192"/>
      <c r="J6" s="192"/>
      <c r="K6" s="192"/>
      <c r="L6" s="192"/>
      <c r="M6" s="201"/>
    </row>
    <row r="7" spans="1:14" s="4" customFormat="1" ht="15.75">
      <c r="A7" s="8" t="s">
        <v>14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4" t="s">
        <v>15</v>
      </c>
    </row>
    <row r="8" spans="1:15" s="4" customFormat="1" ht="15.75">
      <c r="A8" s="12" t="s">
        <v>16</v>
      </c>
      <c r="B8" s="13">
        <f>'[8]ВН 1'!$G$17</f>
        <v>1034.7405975413724</v>
      </c>
      <c r="C8" s="13">
        <f>'[8]4 Баланс ЭЭ'!$E$21-'[8]4 Баланс ЭЭ'!$E$22</f>
        <v>713.9530703342967</v>
      </c>
      <c r="D8" s="13">
        <f>'[8]4 Баланс ЭЭ'!$F$21</f>
        <v>41.79600546605067</v>
      </c>
      <c r="E8" s="13">
        <f>'[8]4 Баланс ЭЭ'!$G$21-'[4]прил 4 (28.07)'!B8</f>
        <v>201.44620943295905</v>
      </c>
      <c r="F8" s="13">
        <f>'[8]4 Баланс ЭЭ'!$H$21-'[4]прил 4 (28.07)'!C8</f>
        <v>248.32135848255905</v>
      </c>
      <c r="G8" s="13" t="s">
        <v>17</v>
      </c>
      <c r="H8" s="13">
        <f>'[6]ЕКТ'!$E$40</f>
        <v>131.50418630336205</v>
      </c>
      <c r="I8" s="13">
        <f>'[6]ЕКТ'!$E$42</f>
        <v>240.54206106545024</v>
      </c>
      <c r="J8" s="13">
        <f>'[6]ЕКТ'!$E$44</f>
        <v>130.19128701882562</v>
      </c>
      <c r="K8" s="13">
        <f>'[6]ЕКТ'!$E$48+'[6]ЕКТ'!$E$50+'[6]ЕКТ'!$E$52-'[4]прил 4'!D8</f>
        <v>9.2649351731696</v>
      </c>
      <c r="L8" s="13">
        <f>'[5]ЕКТ'!$E$46</f>
        <v>15.047982411586162</v>
      </c>
      <c r="M8" s="14">
        <f>SUM(B8:L8)</f>
        <v>2766.8076932296317</v>
      </c>
      <c r="N8" s="15">
        <f>M8-B8</f>
        <v>1732.0670956882593</v>
      </c>
      <c r="O8" s="16">
        <f>'[4]прил 3 испр'!M8-'[4]прил 3 испр'!B8-'прил. 2'!N8</f>
        <v>0</v>
      </c>
    </row>
    <row r="9" spans="1:19" s="4" customFormat="1" ht="15.75">
      <c r="A9" s="12" t="s">
        <v>18</v>
      </c>
      <c r="B9" s="13">
        <f>'[8]ВН 1'!$G$27</f>
        <v>213.6316280203421</v>
      </c>
      <c r="C9" s="13">
        <f>'[8]5 Баланс М'!$E$21-'[8]5 Баланс М'!$E$22</f>
        <v>133.27067886885547</v>
      </c>
      <c r="D9" s="13">
        <f>'[8]5 Баланс М'!$F$21</f>
        <v>15.366151662436977</v>
      </c>
      <c r="E9" s="13">
        <f>E8*'[4]прил 3'!E9/'[4]прил 3'!E8</f>
        <v>70.53509037909807</v>
      </c>
      <c r="F9" s="13">
        <f>F8*'[4]прил 3'!F9/'[4]прил 3'!F8</f>
        <v>79.83011503719497</v>
      </c>
      <c r="G9" s="13">
        <f>'[6]Баланс М'!$E$22</f>
        <v>0.6283183089776591</v>
      </c>
      <c r="H9" s="186">
        <f>'[8]5 Баланс М'!$E$24+'[8]5 Баланс М'!$F$24+'[8]5 Баланс М'!$G$24+'[8]5 Баланс М'!$H$24</f>
        <v>151.28738333333334</v>
      </c>
      <c r="I9" s="186"/>
      <c r="J9" s="186"/>
      <c r="K9" s="186"/>
      <c r="L9" s="186"/>
      <c r="M9" s="14">
        <f>B9+C9+D9+E9+F9+G9+H9</f>
        <v>664.5493656102386</v>
      </c>
      <c r="N9" s="15">
        <f>1732.22-1733.13</f>
        <v>-0.9100000000000819</v>
      </c>
      <c r="P9" s="17"/>
      <c r="Q9" s="17"/>
      <c r="R9" s="17"/>
      <c r="S9" s="17"/>
    </row>
    <row r="10" spans="1:19" s="4" customFormat="1" ht="31.5">
      <c r="A10" s="12" t="s">
        <v>19</v>
      </c>
      <c r="B10" s="13">
        <f>'[2]Расчет ставки ВН1'!G31</f>
        <v>235993.34402215894</v>
      </c>
      <c r="C10" s="13">
        <f>'[8]ЕКТ  в пределах ФАС'!$F$77</f>
        <v>1177094.24</v>
      </c>
      <c r="D10" s="13">
        <f>'[8]ЕКТ  в пределах ФАС'!$G$77</f>
        <v>1883213.42</v>
      </c>
      <c r="E10" s="13">
        <f>'[8]ЕКТ  в пределах ФАС'!$H$77</f>
        <v>1946577.83</v>
      </c>
      <c r="F10" s="13">
        <f>'[8]ЕКТ  в пределах ФАС'!$I$77</f>
        <v>1980346.76</v>
      </c>
      <c r="G10" s="13">
        <f>C10</f>
        <v>1177094.24</v>
      </c>
      <c r="H10" s="13"/>
      <c r="I10" s="13"/>
      <c r="J10" s="13"/>
      <c r="K10" s="13"/>
      <c r="L10" s="13"/>
      <c r="M10" s="14"/>
      <c r="P10" s="17"/>
      <c r="Q10" s="17"/>
      <c r="R10" s="17"/>
      <c r="S10" s="17"/>
    </row>
    <row r="11" spans="1:13" s="4" customFormat="1" ht="15.75">
      <c r="A11" s="12" t="s">
        <v>20</v>
      </c>
      <c r="B11" s="13">
        <f>'[2]Расчет ставки ВН1'!G32</f>
        <v>84.0157</v>
      </c>
      <c r="C11" s="13">
        <f>'[5]ЕКТ'!$F$88</f>
        <v>148.1499999999999</v>
      </c>
      <c r="D11" s="13">
        <f>'[5]ЕКТ'!$G$88</f>
        <v>280.99999999999994</v>
      </c>
      <c r="E11" s="13">
        <f>'[5]ЕКТ'!$H$88</f>
        <v>426.24000000000024</v>
      </c>
      <c r="F11" s="13">
        <f>'[5]ЕКТ'!$I$88</f>
        <v>938.7300000000005</v>
      </c>
      <c r="G11" s="13" t="s">
        <v>17</v>
      </c>
      <c r="H11" s="13"/>
      <c r="I11" s="13"/>
      <c r="J11" s="13"/>
      <c r="K11" s="13"/>
      <c r="L11" s="13"/>
      <c r="M11" s="14"/>
    </row>
    <row r="12" spans="1:16" s="4" customFormat="1" ht="15.75">
      <c r="A12" s="12" t="s">
        <v>21</v>
      </c>
      <c r="B12" s="13">
        <f>(B10*B9*0.006+B8*B11)/B8</f>
        <v>376.35356171264647</v>
      </c>
      <c r="C12" s="18">
        <f>'[5]ЕКТ'!$F$89</f>
        <v>1466.49</v>
      </c>
      <c r="D12" s="18">
        <f>'[5]ЕКТ'!$G$89</f>
        <v>4435.14</v>
      </c>
      <c r="E12" s="18">
        <f>'[5]ЕКТ'!$H$89</f>
        <v>4515.73</v>
      </c>
      <c r="F12" s="18">
        <f>'[5]ЕКТ'!$I$89</f>
        <v>4758.57</v>
      </c>
      <c r="G12" s="13" t="s">
        <v>17</v>
      </c>
      <c r="H12" s="13">
        <f>'[8]ЕКТ  в пределах ФАС'!$F$48</f>
        <v>1278.84</v>
      </c>
      <c r="I12" s="13">
        <f>'[8]ЕКТ  в пределах ФАС'!$F$42</f>
        <v>473.76</v>
      </c>
      <c r="J12" s="13">
        <f>I12</f>
        <v>473.76</v>
      </c>
      <c r="K12" s="13">
        <f>H12</f>
        <v>1278.84</v>
      </c>
      <c r="L12" s="13">
        <f>J12</f>
        <v>473.76</v>
      </c>
      <c r="M12" s="14"/>
      <c r="N12" s="19"/>
      <c r="P12" s="15"/>
    </row>
    <row r="13" spans="1:16" s="4" customFormat="1" ht="15.75">
      <c r="A13" s="12" t="s">
        <v>22</v>
      </c>
      <c r="B13" s="13">
        <f>B8*B11+B9*B10*0.006</f>
        <v>389428.30933336756</v>
      </c>
      <c r="C13" s="13">
        <f>C8*C11+C9*C10*0.006</f>
        <v>1047005.038114543</v>
      </c>
      <c r="D13" s="13">
        <f>D8*D11+D9*D10*0.006</f>
        <v>185371.1356827</v>
      </c>
      <c r="E13" s="13">
        <f>E8*E11+E9*E10*0.006</f>
        <v>909676.691322696</v>
      </c>
      <c r="F13" s="13">
        <f>F8*F11+F9*F10*0.006</f>
        <v>1181654.566834351</v>
      </c>
      <c r="G13" s="13">
        <f>G10*G9*0.006</f>
        <v>4437.539174304857</v>
      </c>
      <c r="H13" s="13">
        <f>H8*H12</f>
        <v>168172.8136121915</v>
      </c>
      <c r="I13" s="13">
        <f>I8*I12</f>
        <v>113959.2068503677</v>
      </c>
      <c r="J13" s="13">
        <f>J8*J12</f>
        <v>61679.42413803883</v>
      </c>
      <c r="K13" s="13">
        <f>K8*K12</f>
        <v>11848.36969685621</v>
      </c>
      <c r="L13" s="13">
        <f>L8*L12</f>
        <v>7129.13214731306</v>
      </c>
      <c r="M13" s="20">
        <f>3795936.68+'[2]ФСК'!E5-'[4]прил 4'!E13</f>
        <v>4080362.1088834903</v>
      </c>
      <c r="N13" s="19"/>
      <c r="O13" s="21"/>
      <c r="P13" s="15"/>
    </row>
    <row r="14" spans="1:16" s="4" customFormat="1" ht="15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9"/>
      <c r="O14" s="21"/>
      <c r="P14" s="15"/>
    </row>
    <row r="15" spans="1:14" s="4" customFormat="1" ht="15.75">
      <c r="A15" s="22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9"/>
    </row>
    <row r="16" spans="1:14" s="4" customFormat="1" ht="15.75">
      <c r="A16" s="22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9"/>
    </row>
    <row r="17" spans="1:15" s="4" customFormat="1" ht="15.75">
      <c r="A17" s="12" t="s">
        <v>16</v>
      </c>
      <c r="B17" s="13">
        <f>'[5]Баланс ЭЭ'!$H$37</f>
        <v>0</v>
      </c>
      <c r="C17" s="13">
        <f>('[8]4 Баланс ЭЭ'!$J$21-'[8]4 Баланс ЭЭ'!$J$22)/6</f>
        <v>114.81102048190952</v>
      </c>
      <c r="D17" s="13">
        <f>'[8]4 Баланс ЭЭ'!$K$21/6</f>
        <v>6.608161850471139</v>
      </c>
      <c r="E17" s="13">
        <f>'[8]4 Баланс ЭЭ'!$L$21/6-'[4]прил 4 (28.07)'!B17</f>
        <v>30.2554110302395</v>
      </c>
      <c r="F17" s="13">
        <f>'[8]4 Баланс ЭЭ'!$M$21/6-'[4]прил 4 (28.07)'!C17</f>
        <v>36.03987218665814</v>
      </c>
      <c r="G17" s="13" t="s">
        <v>17</v>
      </c>
      <c r="H17" s="13">
        <f>'[4]прил 3 испр'!H16/6</f>
        <v>20.094381900447186</v>
      </c>
      <c r="I17" s="13">
        <f>'[4]прил 3 испр'!I16/6</f>
        <v>36.45860806861614</v>
      </c>
      <c r="J17" s="23">
        <f>'[4]прил 3 испр'!J16/6</f>
        <v>18.374730091851635</v>
      </c>
      <c r="K17" s="23">
        <f>'[4]прил 3 испр'!K16/6</f>
        <v>1.246151439940863</v>
      </c>
      <c r="L17" s="23">
        <f>'[4]прил 3 испр'!L16/6</f>
        <v>2.770836007782681</v>
      </c>
      <c r="M17" s="20">
        <f>SUM(B17:L17)</f>
        <v>266.65917305791686</v>
      </c>
      <c r="N17" s="19">
        <f>H17+I17+J17+K17+L17</f>
        <v>78.94470750863849</v>
      </c>
      <c r="O17" s="15"/>
    </row>
    <row r="18" spans="1:14" s="4" customFormat="1" ht="16.5" customHeight="1">
      <c r="A18" s="12" t="s">
        <v>18</v>
      </c>
      <c r="B18" s="13">
        <f>'[5]АНАЛИЗ'!$J$24</f>
        <v>0</v>
      </c>
      <c r="C18" s="13">
        <f>'[8]5 Баланс М'!$J$21-'[8]5 Баланс М'!$J$22</f>
        <v>127.31481178901002</v>
      </c>
      <c r="D18" s="13">
        <f>'[8]5 Баланс М'!$K$21</f>
        <v>14.576786943302437</v>
      </c>
      <c r="E18" s="13">
        <f>'[8]5 Баланс М'!$L$21-'[4]прил 4 (28.07)'!B18</f>
        <v>63.56239615248822</v>
      </c>
      <c r="F18" s="13">
        <f>'[8]5 Баланс М'!$M$21-'[4]прил 4 (28.07)'!C18</f>
        <v>69.51627605824649</v>
      </c>
      <c r="G18" s="13">
        <f>'[4]прил 3 испр'!G17</f>
        <v>0.546369623469956</v>
      </c>
      <c r="H18" s="187">
        <f>'[8]5 Баланс М'!$J$24+'[8]5 Баланс М'!$K$24+'[8]5 Баланс М'!$L$24+'[8]5 Баланс М'!$M$24</f>
        <v>136.0859499997131</v>
      </c>
      <c r="I18" s="187"/>
      <c r="J18" s="187"/>
      <c r="K18" s="187"/>
      <c r="L18" s="187"/>
      <c r="M18" s="20">
        <f>SUM(B18:L18)</f>
        <v>411.6025905662302</v>
      </c>
      <c r="N18" s="19">
        <f>H18</f>
        <v>136.0859499997131</v>
      </c>
    </row>
    <row r="19" spans="1:14" s="4" customFormat="1" ht="31.5">
      <c r="A19" s="12" t="s">
        <v>19</v>
      </c>
      <c r="B19" s="13">
        <v>0</v>
      </c>
      <c r="C19" s="13">
        <f>'[8]ЕКТ  в пределах ФАС'!$K$77</f>
        <v>1295364.9299999995</v>
      </c>
      <c r="D19" s="13">
        <f>'[8]ЕКТ  в пределах ФАС'!$L$77</f>
        <v>2076530.8600000003</v>
      </c>
      <c r="E19" s="13">
        <f>'[8]ЕКТ  в пределах ФАС'!$M$77</f>
        <v>2166188.63</v>
      </c>
      <c r="F19" s="13">
        <f>'[8]ЕКТ  в пределах ФАС'!$N$77</f>
        <v>2207332.310000001</v>
      </c>
      <c r="G19" s="13">
        <f>C19</f>
        <v>1295364.9299999995</v>
      </c>
      <c r="H19" s="13"/>
      <c r="I19" s="13"/>
      <c r="J19" s="13"/>
      <c r="K19" s="13"/>
      <c r="L19" s="13"/>
      <c r="M19" s="14"/>
      <c r="N19" s="19"/>
    </row>
    <row r="20" spans="1:18" s="4" customFormat="1" ht="15.75">
      <c r="A20" s="12" t="s">
        <v>20</v>
      </c>
      <c r="B20" s="13">
        <v>0</v>
      </c>
      <c r="C20" s="13">
        <f>'[5]ЕКТ'!$K$88</f>
        <v>155.56</v>
      </c>
      <c r="D20" s="13">
        <f>'[5]ЕКТ'!$L$88</f>
        <v>295.05</v>
      </c>
      <c r="E20" s="13">
        <f>'[5]ЕКТ'!$M$88</f>
        <v>447.55</v>
      </c>
      <c r="F20" s="13">
        <f>'[5]ЕКТ'!$N$88</f>
        <v>985.6699999999998</v>
      </c>
      <c r="G20" s="13" t="s">
        <v>17</v>
      </c>
      <c r="H20" s="13"/>
      <c r="I20" s="13"/>
      <c r="J20" s="13"/>
      <c r="K20" s="13"/>
      <c r="L20" s="13"/>
      <c r="M20" s="14"/>
      <c r="N20" s="19"/>
      <c r="R20" s="15"/>
    </row>
    <row r="21" spans="1:17" s="4" customFormat="1" ht="15.75">
      <c r="A21" s="12" t="s">
        <v>21</v>
      </c>
      <c r="B21" s="13">
        <v>0</v>
      </c>
      <c r="C21" s="13">
        <f>(C17*C20+C18*C19*0.001)/C17</f>
        <v>1591.9999999999998</v>
      </c>
      <c r="D21" s="13">
        <f>(D17*D20+D18*D19*0.001)/D17</f>
        <v>4875.62</v>
      </c>
      <c r="E21" s="13">
        <f>(E17*E20+E18*E19*0.001)/E17</f>
        <v>4998.41</v>
      </c>
      <c r="F21" s="13">
        <f>(F17*F20+F18*F19*0.001)/F17</f>
        <v>5243.330000000004</v>
      </c>
      <c r="G21" s="13" t="s">
        <v>17</v>
      </c>
      <c r="H21" s="13">
        <f>'[8]ЕКТ  в пределах ФАС'!$K$48</f>
        <v>1539.9210476301796</v>
      </c>
      <c r="I21" s="13">
        <f>'[8]ЕКТ  в пределах ФАС'!$K$42</f>
        <v>709.4125730539082</v>
      </c>
      <c r="J21" s="13">
        <f>I21</f>
        <v>709.4125730539082</v>
      </c>
      <c r="K21" s="13">
        <f>H21</f>
        <v>1539.9210476301796</v>
      </c>
      <c r="L21" s="13">
        <f>J21</f>
        <v>709.4125730539082</v>
      </c>
      <c r="M21" s="14"/>
      <c r="N21" s="19"/>
      <c r="Q21" s="25"/>
    </row>
    <row r="22" spans="1:17" s="4" customFormat="1" ht="15.75">
      <c r="A22" s="12"/>
      <c r="B22" s="13"/>
      <c r="C22" s="26">
        <f>C21/C12*100-100</f>
        <v>8.558530913950975</v>
      </c>
      <c r="D22" s="26">
        <f>D21/D12*100-100</f>
        <v>9.93159178740693</v>
      </c>
      <c r="E22" s="26">
        <f>E21/E12*100-100</f>
        <v>10.688858722731439</v>
      </c>
      <c r="F22" s="26">
        <f>F21/F12*100-100</f>
        <v>10.187094021943636</v>
      </c>
      <c r="G22" s="26"/>
      <c r="H22" s="26">
        <f>H21/H12*100-100</f>
        <v>20.415458355242237</v>
      </c>
      <c r="I22" s="26">
        <f>I21/I12*100-100</f>
        <v>49.74091798672498</v>
      </c>
      <c r="J22" s="26">
        <f>J21/J12*100-100</f>
        <v>49.74091798672498</v>
      </c>
      <c r="K22" s="26">
        <f>K21/K12*100-100</f>
        <v>20.415458355242237</v>
      </c>
      <c r="L22" s="26">
        <f>L21/L12*100-100</f>
        <v>49.74091798672498</v>
      </c>
      <c r="M22" s="14"/>
      <c r="N22" s="19"/>
      <c r="Q22" s="25"/>
    </row>
    <row r="23" spans="1:14" s="4" customFormat="1" ht="15.75">
      <c r="A23" s="12" t="s">
        <v>22</v>
      </c>
      <c r="B23" s="13">
        <f>B17*B20+B18*B19*0.006</f>
        <v>0</v>
      </c>
      <c r="C23" s="13">
        <f>C17*C21</f>
        <v>182779.14460719994</v>
      </c>
      <c r="D23" s="13">
        <f>D17*D20+D18*D19*0.001</f>
        <v>32218.886081394096</v>
      </c>
      <c r="E23" s="13">
        <f>E17*E20+E18*E19*0.001</f>
        <v>151228.9490476594</v>
      </c>
      <c r="F23" s="13">
        <f>F17*F20+F18*F19*0.001</f>
        <v>188968.94303247033</v>
      </c>
      <c r="G23" s="13">
        <f>G18*G19*0.001</f>
        <v>707.7480490602856</v>
      </c>
      <c r="H23" s="13">
        <f>H17*H21</f>
        <v>30943.76162761755</v>
      </c>
      <c r="I23" s="13">
        <f>I17*I21</f>
        <v>25864.19495992095</v>
      </c>
      <c r="J23" s="13">
        <f>J17*J21</f>
        <v>13035.264553631543</v>
      </c>
      <c r="K23" s="13">
        <f>K17*K21</f>
        <v>1918.9748308995906</v>
      </c>
      <c r="L23" s="13">
        <f>L17*L21</f>
        <v>1965.6659017915304</v>
      </c>
      <c r="M23" s="20">
        <f>C23+D23+E23+F23+G23+H23+I23+J23+K23+L23</f>
        <v>629631.5326916452</v>
      </c>
      <c r="N23" s="19"/>
    </row>
    <row r="24" spans="1:14" s="4" customFormat="1" ht="15.7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27"/>
    </row>
    <row r="25" spans="1:14" s="4" customFormat="1" ht="15.75">
      <c r="A25" s="28" t="s">
        <v>25</v>
      </c>
      <c r="B25" s="13"/>
      <c r="C25" s="13">
        <f>C17*C20+C19*C18*0.001</f>
        <v>182779.14460719994</v>
      </c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27"/>
    </row>
    <row r="26" spans="1:14" s="4" customFormat="1" ht="15.7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27"/>
    </row>
    <row r="27" spans="1:14" s="4" customFormat="1" ht="15.75">
      <c r="A27" s="12" t="s">
        <v>16</v>
      </c>
      <c r="B27" s="13">
        <f>B21*B24+B22*B23*0.006</f>
        <v>0</v>
      </c>
      <c r="C27" s="13">
        <f>C17*5</f>
        <v>574.0551024095477</v>
      </c>
      <c r="D27" s="13">
        <f>D17*5</f>
        <v>33.04080925235569</v>
      </c>
      <c r="E27" s="13">
        <f>E17*5</f>
        <v>151.2770551511975</v>
      </c>
      <c r="F27" s="13">
        <f>F17*5+0.9574</f>
        <v>181.15676093329068</v>
      </c>
      <c r="G27" s="13"/>
      <c r="H27" s="13">
        <f>H17*5</f>
        <v>100.47190950223593</v>
      </c>
      <c r="I27" s="13">
        <f>I17*5</f>
        <v>182.2930403430807</v>
      </c>
      <c r="J27" s="13">
        <f>J17*5</f>
        <v>91.87365045925817</v>
      </c>
      <c r="K27" s="13">
        <f>K17*5</f>
        <v>6.230757199704316</v>
      </c>
      <c r="L27" s="13">
        <f>L17*5</f>
        <v>13.854180038913404</v>
      </c>
      <c r="M27" s="20">
        <f>C27+D27+E27+F27+G27+H27+I27+J27+K27+L27</f>
        <v>1334.2532652895843</v>
      </c>
      <c r="N27" s="27"/>
    </row>
    <row r="28" spans="1:14" s="4" customFormat="1" ht="15.75">
      <c r="A28" s="12" t="s">
        <v>18</v>
      </c>
      <c r="B28" s="13">
        <f>B22*B25+B23*B24*0.006</f>
        <v>0</v>
      </c>
      <c r="C28" s="13">
        <f>C18</f>
        <v>127.31481178901002</v>
      </c>
      <c r="D28" s="13">
        <f>D18</f>
        <v>14.576786943302437</v>
      </c>
      <c r="E28" s="13">
        <f>E18</f>
        <v>63.56239615248822</v>
      </c>
      <c r="F28" s="13">
        <f>'[7]5 Баланс М'!$M$21-'[4]прил 4 (28.07)'!C27</f>
        <v>69.88562276934553</v>
      </c>
      <c r="G28" s="13">
        <f>G18</f>
        <v>0.546369623469956</v>
      </c>
      <c r="H28" s="188">
        <f>H18</f>
        <v>136.0859499997131</v>
      </c>
      <c r="I28" s="189"/>
      <c r="J28" s="189"/>
      <c r="K28" s="189"/>
      <c r="L28" s="190"/>
      <c r="M28" s="20">
        <f>C28+D28+E28+F28+G28+H28+I28+J28+K28+L28</f>
        <v>411.9719372773293</v>
      </c>
      <c r="N28" s="27"/>
    </row>
    <row r="29" spans="1:14" s="4" customFormat="1" ht="31.5">
      <c r="A29" s="12" t="s">
        <v>19</v>
      </c>
      <c r="B29" s="13">
        <f>B23*B26+B24*B25*0.006</f>
        <v>0</v>
      </c>
      <c r="C29" s="13">
        <f>'[7]ЕКТ  в пределах ФАС'!$K$77</f>
        <v>1295364.9300000002</v>
      </c>
      <c r="D29" s="13">
        <f>'[7]ЕКТ  в пределах ФАС'!$L$77</f>
        <v>2076530.8600000003</v>
      </c>
      <c r="E29" s="13">
        <f>'[7]ЕКТ  в пределах ФАС'!$M$77</f>
        <v>2166188.63</v>
      </c>
      <c r="F29" s="18">
        <f>'[7]ЕКТ  в пределах ФАС'!$N$77</f>
        <v>2175871.379183903</v>
      </c>
      <c r="G29" s="13">
        <f>C29</f>
        <v>1295364.9300000002</v>
      </c>
      <c r="H29" s="13"/>
      <c r="I29" s="13"/>
      <c r="J29" s="13"/>
      <c r="K29" s="13"/>
      <c r="L29" s="13"/>
      <c r="M29" s="14"/>
      <c r="N29" s="27"/>
    </row>
    <row r="30" spans="1:14" s="4" customFormat="1" ht="15.75">
      <c r="A30" s="12" t="s">
        <v>20</v>
      </c>
      <c r="B30" s="13">
        <f>B24*B27+B25*B26*0.006</f>
        <v>0</v>
      </c>
      <c r="C30" s="13">
        <f>C20</f>
        <v>155.56</v>
      </c>
      <c r="D30" s="13">
        <f>D20</f>
        <v>295.05</v>
      </c>
      <c r="E30" s="13">
        <f>E20</f>
        <v>447.55</v>
      </c>
      <c r="F30" s="18">
        <f>'[7]ЕКТ  в пределах ФАС'!$N$78</f>
        <v>982.3490967514034</v>
      </c>
      <c r="G30" s="13" t="str">
        <f>G20</f>
        <v>х</v>
      </c>
      <c r="H30" s="13"/>
      <c r="I30" s="13"/>
      <c r="J30" s="13"/>
      <c r="K30" s="13"/>
      <c r="L30" s="13"/>
      <c r="M30" s="14"/>
      <c r="N30" s="27"/>
    </row>
    <row r="31" spans="1:14" s="4" customFormat="1" ht="15.75">
      <c r="A31" s="12" t="s">
        <v>21</v>
      </c>
      <c r="B31" s="13">
        <f>B25*B28+B26*B27*0.006</f>
        <v>0</v>
      </c>
      <c r="C31" s="13">
        <f>(C27*C30+C28*C29*0.005)/C27</f>
        <v>1592.0000000000002</v>
      </c>
      <c r="D31" s="13">
        <f>(D27*D30+D28*D29*0.005)/D27</f>
        <v>4875.62</v>
      </c>
      <c r="E31" s="13">
        <f>(E27*E30+E28*E29*0.005)/E27</f>
        <v>4998.410000000001</v>
      </c>
      <c r="F31" s="18">
        <f>(F27*F30+F28*F29*0.005)/F27</f>
        <v>5179.325395534348</v>
      </c>
      <c r="G31" s="13">
        <v>0</v>
      </c>
      <c r="H31" s="13">
        <f>'[5]ЕКТ'!$J$39</f>
        <v>1539.921047630126</v>
      </c>
      <c r="I31" s="13">
        <f>'[5]ЕКТ'!$J$41</f>
        <v>709.412573053855</v>
      </c>
      <c r="J31" s="13">
        <f>'[5]ЕКТ'!$J$43</f>
        <v>709.4125730538548</v>
      </c>
      <c r="K31" s="13">
        <f>'[5]ЕКТ'!$J$47</f>
        <v>1539.921047630126</v>
      </c>
      <c r="L31" s="13">
        <f>'[5]ЕКТ'!$J$45</f>
        <v>709.4125730538548</v>
      </c>
      <c r="M31" s="14"/>
      <c r="N31" s="27"/>
    </row>
    <row r="32" spans="1:14" s="4" customFormat="1" ht="15.7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27"/>
    </row>
    <row r="33" spans="1:14" s="4" customFormat="1" ht="15.75">
      <c r="A33" s="12"/>
      <c r="B33" s="13"/>
      <c r="C33" s="13">
        <f>C17+C27</f>
        <v>688.8661228914572</v>
      </c>
      <c r="D33" s="13">
        <f>D17+D27</f>
        <v>39.648971102826835</v>
      </c>
      <c r="E33" s="13">
        <f>E17+E27</f>
        <v>181.53246618143697</v>
      </c>
      <c r="F33" s="13">
        <f>F17+F27</f>
        <v>217.1966331199488</v>
      </c>
      <c r="G33" s="13">
        <v>0</v>
      </c>
      <c r="H33" s="18">
        <f>H17+H27</f>
        <v>120.56629140268312</v>
      </c>
      <c r="I33" s="18">
        <f>I17+I27</f>
        <v>218.75164841169683</v>
      </c>
      <c r="J33" s="18">
        <f>J17+J27</f>
        <v>110.2483805511098</v>
      </c>
      <c r="K33" s="18">
        <f>K17+K27</f>
        <v>7.476908639645179</v>
      </c>
      <c r="L33" s="18">
        <f>L17+L27</f>
        <v>16.625016046696086</v>
      </c>
      <c r="M33" s="14">
        <f>C33+D33+E33+F33+H33+I33+J33+K33+L33</f>
        <v>1600.912438347501</v>
      </c>
      <c r="N33" s="27"/>
    </row>
    <row r="34" spans="1:14" s="4" customFormat="1" ht="15.7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  <c r="N34" s="27"/>
    </row>
    <row r="35" spans="1:14" s="4" customFormat="1" ht="15.75">
      <c r="A35" s="12" t="s">
        <v>22</v>
      </c>
      <c r="B35" s="13"/>
      <c r="C35" s="13">
        <f>C27*C31</f>
        <v>913895.723036</v>
      </c>
      <c r="D35" s="13">
        <f>D27*D31</f>
        <v>161094.43040697047</v>
      </c>
      <c r="E35" s="13">
        <f>E27*E31</f>
        <v>756144.7452382972</v>
      </c>
      <c r="F35" s="13">
        <f>F27*F31</f>
        <v>938269.8124745371</v>
      </c>
      <c r="G35" s="13">
        <f>G28*G29*0.005</f>
        <v>3538.74024530143</v>
      </c>
      <c r="H35" s="13">
        <f>H27*H31</f>
        <v>154718.80813808236</v>
      </c>
      <c r="I35" s="13">
        <f>I27*I31</f>
        <v>129320.97479959506</v>
      </c>
      <c r="J35" s="13">
        <f>J27*J31</f>
        <v>65176.32276815281</v>
      </c>
      <c r="K35" s="13">
        <f>K27*K31</f>
        <v>9594.87415449762</v>
      </c>
      <c r="L35" s="13">
        <f>L27*L31</f>
        <v>9828.329508956911</v>
      </c>
      <c r="M35" s="14">
        <f>C35+D35+E35+F35+G35+H35+I35+J35+K35+L35</f>
        <v>3141582.7607703903</v>
      </c>
      <c r="N35" s="27"/>
    </row>
    <row r="36" spans="1:14" s="4" customFormat="1" ht="15.75">
      <c r="A36" s="12"/>
      <c r="B36" s="13"/>
      <c r="C36" s="13">
        <f aca="true" t="shared" si="0" ref="C36:L36">C23+C35</f>
        <v>1096674.8676431999</v>
      </c>
      <c r="D36" s="13">
        <f t="shared" si="0"/>
        <v>193313.31648836457</v>
      </c>
      <c r="E36" s="13">
        <f t="shared" si="0"/>
        <v>907373.6942859566</v>
      </c>
      <c r="F36" s="13">
        <f t="shared" si="0"/>
        <v>1127238.7555070075</v>
      </c>
      <c r="G36" s="13">
        <f t="shared" si="0"/>
        <v>4246.488294361716</v>
      </c>
      <c r="H36" s="13">
        <f t="shared" si="0"/>
        <v>185662.5697656999</v>
      </c>
      <c r="I36" s="13">
        <f t="shared" si="0"/>
        <v>155185.16975951602</v>
      </c>
      <c r="J36" s="13">
        <f t="shared" si="0"/>
        <v>78211.58732178435</v>
      </c>
      <c r="K36" s="13">
        <f t="shared" si="0"/>
        <v>11513.848985397211</v>
      </c>
      <c r="L36" s="13">
        <f t="shared" si="0"/>
        <v>11793.995410748441</v>
      </c>
      <c r="M36" s="14"/>
      <c r="N36" s="27"/>
    </row>
    <row r="37" spans="1:15" s="4" customFormat="1" ht="15.75">
      <c r="A37" s="12" t="s">
        <v>16</v>
      </c>
      <c r="B37" s="13">
        <f>B8+B17</f>
        <v>1034.7405975413724</v>
      </c>
      <c r="C37" s="13">
        <f>C8+C17+C27</f>
        <v>1402.819193225754</v>
      </c>
      <c r="D37" s="13">
        <f>D8+D17+D27</f>
        <v>81.44497656887751</v>
      </c>
      <c r="E37" s="13">
        <f>E8+E17+E27</f>
        <v>382.978675614396</v>
      </c>
      <c r="F37" s="13">
        <f>F8+F17+F27</f>
        <v>465.5179916025079</v>
      </c>
      <c r="G37" s="13"/>
      <c r="H37" s="13">
        <f>H8+H17+H27</f>
        <v>252.07047770604515</v>
      </c>
      <c r="I37" s="13">
        <f>I8+I17+I27</f>
        <v>459.29370947714705</v>
      </c>
      <c r="J37" s="13">
        <f>J8+J17+J27</f>
        <v>240.4396675699354</v>
      </c>
      <c r="K37" s="13">
        <f>K8+K17+K27</f>
        <v>16.74184381281478</v>
      </c>
      <c r="L37" s="13">
        <f>L8+L17+L27</f>
        <v>31.672998458282244</v>
      </c>
      <c r="M37" s="29">
        <f>B37+C37+D37+E37+F37+H37+I37+J37+K37+L37</f>
        <v>4367.7201315771335</v>
      </c>
      <c r="N37" s="30">
        <f>M37-'[4]прил 3 испр'!M26</f>
        <v>0.9574000000002343</v>
      </c>
      <c r="O37" s="31"/>
    </row>
    <row r="38" spans="1:17" s="4" customFormat="1" ht="15.75" customHeight="1" thickBot="1">
      <c r="A38" s="32" t="s">
        <v>22</v>
      </c>
      <c r="B38" s="33">
        <f aca="true" t="shared" si="1" ref="B38:M38">B13+B23+B35</f>
        <v>389428.30933336756</v>
      </c>
      <c r="C38" s="33">
        <f t="shared" si="1"/>
        <v>2143679.905757743</v>
      </c>
      <c r="D38" s="33">
        <f t="shared" si="1"/>
        <v>378684.45217106456</v>
      </c>
      <c r="E38" s="33">
        <f t="shared" si="1"/>
        <v>1817050.3856086526</v>
      </c>
      <c r="F38" s="33">
        <f t="shared" si="1"/>
        <v>2308893.3223413583</v>
      </c>
      <c r="G38" s="33">
        <f t="shared" si="1"/>
        <v>8684.027468666573</v>
      </c>
      <c r="H38" s="33">
        <f t="shared" si="1"/>
        <v>353835.3833778914</v>
      </c>
      <c r="I38" s="33">
        <f t="shared" si="1"/>
        <v>269144.37660988374</v>
      </c>
      <c r="J38" s="33">
        <f t="shared" si="1"/>
        <v>139891.01145982317</v>
      </c>
      <c r="K38" s="33">
        <f t="shared" si="1"/>
        <v>23362.21868225342</v>
      </c>
      <c r="L38" s="33">
        <f t="shared" si="1"/>
        <v>18923.127558061504</v>
      </c>
      <c r="M38" s="34">
        <f t="shared" si="1"/>
        <v>7851576.402345525</v>
      </c>
      <c r="N38" s="19">
        <v>0.9574</v>
      </c>
      <c r="O38" s="31"/>
      <c r="Q38" s="31"/>
    </row>
    <row r="39" spans="1:17" s="4" customFormat="1" ht="15.75" hidden="1">
      <c r="A39" s="35"/>
      <c r="B39" s="36">
        <f>B37-'[4]прил 3 испр'!B26</f>
        <v>0</v>
      </c>
      <c r="C39" s="36">
        <f>C37-'[4]прил 3 испр'!C26</f>
        <v>0</v>
      </c>
      <c r="D39" s="36">
        <f>D37-'[4]прил 3 испр'!D26</f>
        <v>0</v>
      </c>
      <c r="E39" s="36">
        <f>E37-'[4]прил 3 испр'!E26</f>
        <v>0</v>
      </c>
      <c r="F39" s="37">
        <f>F37-'[4]прил 3 испр'!F26</f>
        <v>0.9574000000000069</v>
      </c>
      <c r="G39" s="36"/>
      <c r="H39" s="36">
        <f>H37-'[4]прил 3 испр'!H26</f>
        <v>0</v>
      </c>
      <c r="I39" s="36">
        <f>I37-'[4]прил 3 испр'!I26</f>
        <v>0</v>
      </c>
      <c r="J39" s="36">
        <f>J37-'[4]прил 3 испр'!J26</f>
        <v>0</v>
      </c>
      <c r="K39" s="36">
        <f>K37-'[4]прил 3 испр'!K26</f>
        <v>0</v>
      </c>
      <c r="L39" s="36">
        <f>L37-'[4]прил 3 испр'!L26</f>
        <v>0</v>
      </c>
      <c r="M39" s="36">
        <f>M37-'[4]прил 3 испр'!M26</f>
        <v>0.9574000000002343</v>
      </c>
      <c r="N39" s="19"/>
      <c r="O39" s="31"/>
      <c r="Q39" s="31"/>
    </row>
    <row r="40" spans="1:17" s="4" customFormat="1" ht="15.75" hidden="1">
      <c r="A40" s="35"/>
      <c r="B40" s="36"/>
      <c r="C40" s="36"/>
      <c r="D40" s="36"/>
      <c r="E40" s="185">
        <f>E39+F39</f>
        <v>0.9574000000000069</v>
      </c>
      <c r="F40" s="185"/>
      <c r="G40" s="36"/>
      <c r="H40" s="36"/>
      <c r="I40" s="36"/>
      <c r="J40" s="36"/>
      <c r="K40" s="36"/>
      <c r="L40" s="36"/>
      <c r="M40" s="38"/>
      <c r="N40" s="19"/>
      <c r="O40" s="31"/>
      <c r="Q40" s="31"/>
    </row>
    <row r="41" spans="1:16" s="45" customFormat="1" ht="12" customHeight="1">
      <c r="A41" s="39"/>
      <c r="B41" s="40"/>
      <c r="C41" s="41"/>
      <c r="D41" s="41"/>
      <c r="E41" s="41"/>
      <c r="F41" s="41"/>
      <c r="G41" s="41"/>
      <c r="H41" s="41"/>
      <c r="I41" s="41"/>
      <c r="J41" s="42"/>
      <c r="K41" s="41"/>
      <c r="L41" s="41"/>
      <c r="M41" s="41"/>
      <c r="N41" s="43">
        <f>N37-N38</f>
        <v>2.3425705819590803E-13</v>
      </c>
      <c r="O41" s="44"/>
      <c r="P41" s="44"/>
    </row>
    <row r="42" spans="1:13" s="47" customFormat="1" ht="30" customHeight="1">
      <c r="A42" s="183" t="s">
        <v>26</v>
      </c>
      <c r="B42" s="183" t="s">
        <v>27</v>
      </c>
      <c r="C42" s="183" t="s">
        <v>28</v>
      </c>
      <c r="D42" s="184"/>
      <c r="E42" s="184"/>
      <c r="F42" s="184"/>
      <c r="G42" s="183" t="s">
        <v>29</v>
      </c>
      <c r="H42" s="184"/>
      <c r="I42" s="184"/>
      <c r="J42" s="183" t="s">
        <v>30</v>
      </c>
      <c r="K42" s="184"/>
      <c r="L42" s="184"/>
      <c r="M42" s="184"/>
    </row>
    <row r="43" spans="1:13" s="47" customFormat="1" ht="15.75">
      <c r="A43" s="183"/>
      <c r="B43" s="183"/>
      <c r="C43" s="46" t="s">
        <v>31</v>
      </c>
      <c r="D43" s="46" t="s">
        <v>32</v>
      </c>
      <c r="E43" s="48">
        <v>42917</v>
      </c>
      <c r="F43" s="48" t="s">
        <v>33</v>
      </c>
      <c r="G43" s="46" t="s">
        <v>32</v>
      </c>
      <c r="H43" s="48">
        <v>42917</v>
      </c>
      <c r="I43" s="48" t="s">
        <v>33</v>
      </c>
      <c r="J43" s="49" t="s">
        <v>31</v>
      </c>
      <c r="K43" s="46" t="s">
        <v>32</v>
      </c>
      <c r="L43" s="48">
        <v>42917</v>
      </c>
      <c r="M43" s="48" t="s">
        <v>33</v>
      </c>
    </row>
    <row r="44" spans="1:13" s="56" customFormat="1" ht="15.75">
      <c r="A44" s="217">
        <f>'[16]прил 3 испр'!$A$30</f>
        <v>3652254.11</v>
      </c>
      <c r="B44" s="51"/>
      <c r="C44" s="52"/>
      <c r="D44" s="53"/>
      <c r="E44" s="54"/>
      <c r="F44" s="51"/>
      <c r="G44" s="52"/>
      <c r="H44" s="53"/>
      <c r="I44" s="51"/>
      <c r="J44" s="54"/>
      <c r="K44" s="55"/>
      <c r="L44" s="50"/>
      <c r="M44" s="155"/>
    </row>
    <row r="45" spans="1:15" s="56" customFormat="1" ht="25.5" customHeight="1">
      <c r="A45" s="218"/>
      <c r="B45" s="57" t="s">
        <v>34</v>
      </c>
      <c r="C45" s="50">
        <f>D45+E45+F45</f>
        <v>284.6778333960792</v>
      </c>
      <c r="D45" s="50">
        <f>'[3]перетоки ээ(1полуг)'!$C$37/1000</f>
        <v>142.88959582344722</v>
      </c>
      <c r="E45" s="50">
        <f>23631.372928772/1000</f>
        <v>23.631372928772002</v>
      </c>
      <c r="F45" s="50">
        <f>118156.86464386/1000</f>
        <v>118.15686464386</v>
      </c>
      <c r="G45" s="50">
        <v>2024.737638446231</v>
      </c>
      <c r="H45" s="50">
        <v>2006.2654436274013</v>
      </c>
      <c r="I45" s="50">
        <f>'[1]Расчет тарифа на потери'!D8</f>
        <v>1825.8947350762724</v>
      </c>
      <c r="J45" s="50">
        <f>K45+L45+M45</f>
        <v>552466.746764914</v>
      </c>
      <c r="K45" s="55">
        <f aca="true" t="shared" si="2" ref="K45:M46">D45*G45</f>
        <v>289313.942806103</v>
      </c>
      <c r="L45" s="50">
        <f t="shared" si="2"/>
        <v>47410.80689246732</v>
      </c>
      <c r="M45" s="50">
        <f t="shared" si="2"/>
        <v>215741.99706634373</v>
      </c>
      <c r="N45" s="58"/>
      <c r="O45" s="59"/>
    </row>
    <row r="46" spans="1:15" s="56" customFormat="1" ht="38.25" customHeight="1">
      <c r="A46" s="218"/>
      <c r="B46" s="57" t="s">
        <v>35</v>
      </c>
      <c r="C46" s="50">
        <f>D46+E46+F46</f>
        <v>0.9013666039209736</v>
      </c>
      <c r="D46" s="60">
        <f>'[3]перетоки ээ(1полуг)'!$C$38/1000</f>
        <v>0.42010417655279664</v>
      </c>
      <c r="E46" s="60">
        <f>80.2104045613629/1000</f>
        <v>0.08021040456136291</v>
      </c>
      <c r="F46" s="60">
        <f>401.052022806814/1000</f>
        <v>0.401052022806814</v>
      </c>
      <c r="G46" s="50">
        <v>1546.737638446231</v>
      </c>
      <c r="H46" s="50">
        <v>1186.9354436274014</v>
      </c>
      <c r="I46" s="50">
        <f>'[1]Расчет тарифа на потери'!D26</f>
        <v>1332.3147350762724</v>
      </c>
      <c r="J46" s="50">
        <f>K46+L46+M46</f>
        <v>1279.3230335819094</v>
      </c>
      <c r="K46" s="55">
        <f t="shared" si="2"/>
        <v>649.7909419426711</v>
      </c>
      <c r="L46" s="50">
        <f t="shared" si="2"/>
        <v>95.20457212157463</v>
      </c>
      <c r="M46" s="50">
        <f t="shared" si="2"/>
        <v>534.3275195176636</v>
      </c>
      <c r="N46" s="58"/>
      <c r="O46" s="59"/>
    </row>
    <row r="47" spans="1:13" s="47" customFormat="1" ht="16.5" thickBot="1">
      <c r="A47" s="219"/>
      <c r="B47" s="61" t="s">
        <v>8</v>
      </c>
      <c r="C47" s="62">
        <f>C45+C46</f>
        <v>285.5792000000002</v>
      </c>
      <c r="D47" s="62">
        <f>D45+D46</f>
        <v>143.30970000000002</v>
      </c>
      <c r="E47" s="62">
        <f>E45+E46</f>
        <v>23.711583333333365</v>
      </c>
      <c r="F47" s="62">
        <f>F45+F46</f>
        <v>118.55791666666681</v>
      </c>
      <c r="G47" s="24" t="s">
        <v>36</v>
      </c>
      <c r="H47" s="24" t="s">
        <v>36</v>
      </c>
      <c r="I47" s="24" t="s">
        <v>36</v>
      </c>
      <c r="J47" s="62">
        <f>J45+J46</f>
        <v>553746.069798496</v>
      </c>
      <c r="K47" s="24">
        <f>K45+K46</f>
        <v>289963.73374804563</v>
      </c>
      <c r="L47" s="62">
        <f>L45+L46</f>
        <v>47506.0114645889</v>
      </c>
      <c r="M47" s="62">
        <f>M45+M46</f>
        <v>216276.32458586138</v>
      </c>
    </row>
    <row r="48" spans="2:10" ht="12.75">
      <c r="B48" s="63"/>
      <c r="H48" s="64"/>
      <c r="I48" s="64"/>
      <c r="J48" s="65"/>
    </row>
    <row r="49" spans="3:16" ht="12.75" hidden="1">
      <c r="C49" s="64"/>
      <c r="H49" s="63"/>
      <c r="I49" s="63"/>
      <c r="J49" s="66"/>
      <c r="M49" s="67">
        <f>M38-A45-H45</f>
        <v>7849570.136901897</v>
      </c>
      <c r="P49" s="64"/>
    </row>
    <row r="52" ht="12.75">
      <c r="J52" s="65"/>
    </row>
    <row r="53" ht="12.75">
      <c r="J53" s="65"/>
    </row>
    <row r="54" ht="12.75">
      <c r="J54" s="65"/>
    </row>
  </sheetData>
  <sheetProtection/>
  <mergeCells count="21">
    <mergeCell ref="J42:M42"/>
    <mergeCell ref="H1:M1"/>
    <mergeCell ref="A3:M3"/>
    <mergeCell ref="A5:A6"/>
    <mergeCell ref="B5:F5"/>
    <mergeCell ref="G5:G6"/>
    <mergeCell ref="H5:H6"/>
    <mergeCell ref="I5:I6"/>
    <mergeCell ref="J5:J6"/>
    <mergeCell ref="M5:M6"/>
    <mergeCell ref="H9:L9"/>
    <mergeCell ref="H18:L18"/>
    <mergeCell ref="H28:L28"/>
    <mergeCell ref="L5:L6"/>
    <mergeCell ref="K5:K6"/>
    <mergeCell ref="G42:I42"/>
    <mergeCell ref="A44:A47"/>
    <mergeCell ref="E40:F40"/>
    <mergeCell ref="A42:A43"/>
    <mergeCell ref="B42:B43"/>
    <mergeCell ref="C42:F42"/>
  </mergeCells>
  <dataValidations count="2">
    <dataValidation type="decimal" allowBlank="1" showErrorMessage="1" errorTitle="Ошибка" error="Допускается ввод только действительных чисел!" sqref="J17:L17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5:L5">
      <formula1>900</formula1>
    </dataValidation>
  </dataValidations>
  <printOptions/>
  <pageMargins left="0.53" right="0.39" top="0.51" bottom="0.15" header="0.5" footer="0.2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115" zoomScaleSheetLayoutView="115" workbookViewId="0" topLeftCell="A20">
      <selection activeCell="A29" sqref="A29"/>
    </sheetView>
  </sheetViews>
  <sheetFormatPr defaultColWidth="15.00390625" defaultRowHeight="12.75"/>
  <cols>
    <col min="1" max="1" width="45.25390625" style="1" customWidth="1"/>
    <col min="2" max="5" width="16.875" style="1" customWidth="1"/>
    <col min="6" max="6" width="18.00390625" style="1" customWidth="1"/>
    <col min="7" max="7" width="11.625" style="1" customWidth="1"/>
    <col min="8" max="8" width="42.00390625" style="1" customWidth="1"/>
    <col min="9" max="9" width="14.125" style="1" customWidth="1"/>
    <col min="10" max="10" width="32.625" style="1" customWidth="1"/>
    <col min="11" max="11" width="12.375" style="1" bestFit="1" customWidth="1"/>
    <col min="12" max="242" width="9.125" style="1" customWidth="1"/>
    <col min="243" max="243" width="39.375" style="1" customWidth="1"/>
    <col min="244" max="16384" width="15.00390625" style="1" customWidth="1"/>
  </cols>
  <sheetData>
    <row r="1" spans="3:9" ht="71.25" customHeight="1">
      <c r="C1" s="193" t="s">
        <v>108</v>
      </c>
      <c r="D1" s="193"/>
      <c r="E1" s="193"/>
      <c r="F1" s="68"/>
      <c r="G1" s="68"/>
      <c r="H1" s="68"/>
      <c r="I1" s="68"/>
    </row>
    <row r="2" ht="6.75" customHeight="1"/>
    <row r="3" spans="1:5" s="4" customFormat="1" ht="42.75" customHeight="1">
      <c r="A3" s="202" t="s">
        <v>109</v>
      </c>
      <c r="B3" s="202"/>
      <c r="C3" s="202"/>
      <c r="D3" s="202"/>
      <c r="E3" s="202"/>
    </row>
    <row r="4" spans="1:5" s="4" customFormat="1" ht="15.75">
      <c r="A4" s="5"/>
      <c r="B4" s="5"/>
      <c r="C4" s="5"/>
      <c r="D4" s="5"/>
      <c r="E4" s="5"/>
    </row>
    <row r="5" spans="1:5" s="4" customFormat="1" ht="15.75" customHeight="1">
      <c r="A5" s="203" t="s">
        <v>0</v>
      </c>
      <c r="B5" s="204" t="s">
        <v>1</v>
      </c>
      <c r="C5" s="204"/>
      <c r="D5" s="192" t="s">
        <v>6</v>
      </c>
      <c r="E5" s="206" t="s">
        <v>8</v>
      </c>
    </row>
    <row r="6" spans="1:5" s="4" customFormat="1" ht="155.25" customHeight="1">
      <c r="A6" s="203"/>
      <c r="B6" s="7" t="s">
        <v>12</v>
      </c>
      <c r="C6" s="7" t="s">
        <v>13</v>
      </c>
      <c r="D6" s="205"/>
      <c r="E6" s="206"/>
    </row>
    <row r="7" spans="1:5" s="4" customFormat="1" ht="15.75">
      <c r="A7" s="152" t="s">
        <v>14</v>
      </c>
      <c r="B7" s="10"/>
      <c r="C7" s="10"/>
      <c r="D7" s="10"/>
      <c r="E7" s="10"/>
    </row>
    <row r="8" spans="1:7" s="4" customFormat="1" ht="15.75">
      <c r="A8" s="153" t="s">
        <v>16</v>
      </c>
      <c r="B8" s="13">
        <f>'[2]КПМЭС'!$V$65</f>
        <v>0.016292</v>
      </c>
      <c r="C8" s="13">
        <f>'[2]КПМЭС'!$U$65</f>
        <v>0.135716</v>
      </c>
      <c r="D8" s="13">
        <f>'[2]КПМЭС'!$N$65</f>
        <v>0.9080480276063658</v>
      </c>
      <c r="E8" s="13">
        <f>SUM(B8:D8)</f>
        <v>1.0600560276063657</v>
      </c>
      <c r="F8" s="15"/>
      <c r="G8" s="16"/>
    </row>
    <row r="9" spans="1:11" s="4" customFormat="1" ht="15.75">
      <c r="A9" s="153" t="s">
        <v>18</v>
      </c>
      <c r="B9" s="13">
        <f>'[4]прил 3'!E9-'[4]прил 3 испр'!E9</f>
        <v>0.00570453867408105</v>
      </c>
      <c r="C9" s="13">
        <f>'[4]прил 3'!F9-'[4]прил 3 испр'!F9</f>
        <v>0.043629851087288785</v>
      </c>
      <c r="D9" s="13">
        <f>'[4]прил 3'!N9-'[4]прил 3 испр'!N9</f>
        <v>0.2604493245204651</v>
      </c>
      <c r="E9" s="13">
        <f>SUM(B9:D9)</f>
        <v>0.30978371428183493</v>
      </c>
      <c r="H9" s="17"/>
      <c r="I9" s="17"/>
      <c r="J9" s="17"/>
      <c r="K9" s="17"/>
    </row>
    <row r="10" spans="1:11" s="4" customFormat="1" ht="31.5">
      <c r="A10" s="153" t="s">
        <v>19</v>
      </c>
      <c r="B10" s="13">
        <f>'[5]ЕКТ'!$H$87</f>
        <v>1946577.83</v>
      </c>
      <c r="C10" s="13">
        <f>'[5]ЕКТ'!$I$87</f>
        <v>1980346.76</v>
      </c>
      <c r="D10" s="13"/>
      <c r="E10" s="13"/>
      <c r="H10" s="17"/>
      <c r="I10" s="17"/>
      <c r="J10" s="17"/>
      <c r="K10" s="17"/>
    </row>
    <row r="11" spans="1:5" s="4" customFormat="1" ht="15.75">
      <c r="A11" s="153" t="s">
        <v>20</v>
      </c>
      <c r="B11" s="13">
        <f>'[5]ЕКТ'!$H$88</f>
        <v>426.24000000000024</v>
      </c>
      <c r="C11" s="13">
        <f>'[5]ЕКТ'!$I$88</f>
        <v>938.7300000000005</v>
      </c>
      <c r="D11" s="13"/>
      <c r="E11" s="13"/>
    </row>
    <row r="12" spans="1:8" s="4" customFormat="1" ht="15.75">
      <c r="A12" s="153" t="s">
        <v>21</v>
      </c>
      <c r="B12" s="13">
        <f>'[5]ЕКТ'!$H$89</f>
        <v>4515.73</v>
      </c>
      <c r="C12" s="13">
        <f>'[5]ЕКТ'!$I$89</f>
        <v>4758.57</v>
      </c>
      <c r="D12" s="13">
        <f>'[5]ЕКТ'!$E$47</f>
        <v>1278.8400000000001</v>
      </c>
      <c r="E12" s="13"/>
      <c r="F12" s="27"/>
      <c r="H12" s="15"/>
    </row>
    <row r="13" spans="1:8" s="4" customFormat="1" ht="15.75">
      <c r="A13" s="153" t="s">
        <v>22</v>
      </c>
      <c r="B13" s="13">
        <f>B8*B11+B9*B10*0.006</f>
        <v>73.57027316006261</v>
      </c>
      <c r="C13" s="13">
        <f>C8*C11+C9*C10*0.006</f>
        <v>645.814086119969</v>
      </c>
      <c r="D13" s="13">
        <f>D8*D12</f>
        <v>1161.248139624125</v>
      </c>
      <c r="E13" s="24">
        <f>B13+C13+D13</f>
        <v>1880.6324989041568</v>
      </c>
      <c r="F13" s="19"/>
      <c r="G13" s="21"/>
      <c r="H13" s="15"/>
    </row>
    <row r="14" spans="1:8" s="4" customFormat="1" ht="15.75" hidden="1">
      <c r="A14" s="153"/>
      <c r="B14" s="13"/>
      <c r="C14" s="13">
        <f>(C8*C11+C9*6*C10/1000)/C8</f>
        <v>4758.5699999997705</v>
      </c>
      <c r="D14" s="13"/>
      <c r="E14" s="24"/>
      <c r="F14" s="19"/>
      <c r="G14" s="21"/>
      <c r="H14" s="15"/>
    </row>
    <row r="15" spans="1:8" s="4" customFormat="1" ht="15.75">
      <c r="A15" s="153"/>
      <c r="B15" s="13"/>
      <c r="C15" s="13"/>
      <c r="D15" s="13"/>
      <c r="E15" s="24"/>
      <c r="F15" s="19"/>
      <c r="G15" s="21"/>
      <c r="H15" s="15"/>
    </row>
    <row r="16" spans="1:8" s="4" customFormat="1" ht="15.75">
      <c r="A16" s="152" t="s">
        <v>24</v>
      </c>
      <c r="B16" s="13"/>
      <c r="C16" s="13"/>
      <c r="D16" s="13"/>
      <c r="E16" s="24"/>
      <c r="F16" s="19"/>
      <c r="G16" s="21"/>
      <c r="H16" s="15"/>
    </row>
    <row r="17" spans="1:8" s="4" customFormat="1" ht="15.75">
      <c r="A17" s="153" t="s">
        <v>16</v>
      </c>
      <c r="B17" s="69">
        <f>B24/6</f>
        <v>0.0029980000000000002</v>
      </c>
      <c r="C17" s="13">
        <f>C24/6</f>
        <v>0.011255833333333333</v>
      </c>
      <c r="D17" s="13">
        <f>D24/6</f>
        <v>0.11122582452816572</v>
      </c>
      <c r="E17" s="13">
        <f>E24/6</f>
        <v>0.12547965786149906</v>
      </c>
      <c r="F17" s="19"/>
      <c r="G17" s="21"/>
      <c r="H17" s="15"/>
    </row>
    <row r="18" spans="1:8" s="4" customFormat="1" ht="15.75">
      <c r="A18" s="153" t="s">
        <v>18</v>
      </c>
      <c r="B18" s="13">
        <v>0.006298379601410886</v>
      </c>
      <c r="C18" s="13">
        <v>0.0217110541683638</v>
      </c>
      <c r="D18" s="13">
        <v>0.19146282078068566</v>
      </c>
      <c r="E18" s="13">
        <v>0.21947225455046038</v>
      </c>
      <c r="F18" s="19"/>
      <c r="G18" s="21"/>
      <c r="H18" s="15"/>
    </row>
    <row r="19" spans="1:8" s="4" customFormat="1" ht="31.5">
      <c r="A19" s="153" t="s">
        <v>19</v>
      </c>
      <c r="B19" s="13">
        <f>'[10]прил 2 '!E20</f>
        <v>2166188.63</v>
      </c>
      <c r="C19" s="13">
        <f>'[9]прил 3 (28.07)'!F19</f>
        <v>2207332.310000001</v>
      </c>
      <c r="D19" s="13"/>
      <c r="E19" s="24"/>
      <c r="F19" s="19"/>
      <c r="G19" s="21"/>
      <c r="H19" s="15"/>
    </row>
    <row r="20" spans="1:8" s="4" customFormat="1" ht="15.75">
      <c r="A20" s="153" t="s">
        <v>20</v>
      </c>
      <c r="B20" s="13">
        <f>'[10]прил 2 '!E21</f>
        <v>447.55</v>
      </c>
      <c r="C20" s="13">
        <f>'[9]прил 3 (28.07)'!F20</f>
        <v>985.6699999999998</v>
      </c>
      <c r="D20" s="13"/>
      <c r="E20" s="24"/>
      <c r="F20" s="19"/>
      <c r="G20" s="21"/>
      <c r="H20" s="15"/>
    </row>
    <row r="21" spans="1:8" s="4" customFormat="1" ht="15.75">
      <c r="A21" s="153" t="s">
        <v>21</v>
      </c>
      <c r="B21" s="13">
        <f>'[10]прил 2 '!E22</f>
        <v>4998.41</v>
      </c>
      <c r="C21" s="13">
        <f>'[10]прил 2 '!F22</f>
        <v>5243.330000000001</v>
      </c>
      <c r="D21" s="13">
        <f>'[10]прил 2 '!K22</f>
        <v>1539.921047630126</v>
      </c>
      <c r="E21" s="24"/>
      <c r="F21" s="19"/>
      <c r="G21" s="21"/>
      <c r="H21" s="15"/>
    </row>
    <row r="22" spans="1:8" s="4" customFormat="1" ht="24" customHeight="1">
      <c r="A22" s="153" t="s">
        <v>22</v>
      </c>
      <c r="B22" s="13">
        <f>B17*B20+B18*B19*0.001</f>
        <v>14.985233180000192</v>
      </c>
      <c r="C22" s="13">
        <f>C17*C20+C18*C19*0.001</f>
        <v>59.01804859165628</v>
      </c>
      <c r="D22" s="13">
        <f>D17*D21</f>
        <v>171.2789882309375</v>
      </c>
      <c r="E22" s="24">
        <f>B22+C22+D22</f>
        <v>245.28227000259398</v>
      </c>
      <c r="F22" s="19"/>
      <c r="G22" s="21"/>
      <c r="H22" s="15"/>
    </row>
    <row r="23" spans="1:8" s="4" customFormat="1" ht="24" customHeight="1" hidden="1">
      <c r="A23" s="153"/>
      <c r="B23" s="13"/>
      <c r="C23" s="13">
        <f>(C17*C20+C18*C19/1000)/C17</f>
        <v>5243.329999999078</v>
      </c>
      <c r="D23" s="13"/>
      <c r="E23" s="24"/>
      <c r="F23" s="19"/>
      <c r="G23" s="21"/>
      <c r="H23" s="15"/>
    </row>
    <row r="24" spans="1:8" s="4" customFormat="1" ht="15.75" hidden="1">
      <c r="A24" s="153" t="s">
        <v>37</v>
      </c>
      <c r="B24" s="13">
        <f>'[2]КПМЭС'!$V$66</f>
        <v>0.017988</v>
      </c>
      <c r="C24" s="13">
        <f>'[2]КПМЭС'!$U$66</f>
        <v>0.067535</v>
      </c>
      <c r="D24" s="23">
        <f>'[2]КПМЭС'!$N$66</f>
        <v>0.6673549471689944</v>
      </c>
      <c r="E24" s="13">
        <f>SUM(B24:D24)</f>
        <v>0.7528779471689944</v>
      </c>
      <c r="F24" s="19"/>
      <c r="G24" s="21"/>
      <c r="H24" s="15"/>
    </row>
    <row r="25" spans="1:8" s="4" customFormat="1" ht="15.75">
      <c r="A25" s="153"/>
      <c r="B25" s="13"/>
      <c r="C25" s="13"/>
      <c r="D25" s="23"/>
      <c r="E25" s="13"/>
      <c r="F25" s="19"/>
      <c r="G25" s="21"/>
      <c r="H25" s="15"/>
    </row>
    <row r="26" spans="1:6" s="4" customFormat="1" ht="15.75">
      <c r="A26" s="154" t="s">
        <v>25</v>
      </c>
      <c r="B26" s="13"/>
      <c r="C26" s="13"/>
      <c r="D26" s="13"/>
      <c r="E26" s="13"/>
      <c r="F26" s="19"/>
    </row>
    <row r="27" spans="1:7" s="4" customFormat="1" ht="15.75">
      <c r="A27" s="153" t="s">
        <v>16</v>
      </c>
      <c r="B27" s="13">
        <f>B24/6*5</f>
        <v>0.014990000000000002</v>
      </c>
      <c r="C27" s="13">
        <f>C24/6*5</f>
        <v>0.056279166666666665</v>
      </c>
      <c r="D27" s="13">
        <f>D24/6*5</f>
        <v>0.5561291226408286</v>
      </c>
      <c r="E27" s="13">
        <f>E24/6*5</f>
        <v>0.6273982893074953</v>
      </c>
      <c r="F27" s="19"/>
      <c r="G27" s="15"/>
    </row>
    <row r="28" spans="1:6" s="4" customFormat="1" ht="16.5" customHeight="1">
      <c r="A28" s="153" t="s">
        <v>18</v>
      </c>
      <c r="B28" s="13">
        <v>0.006298379601410886</v>
      </c>
      <c r="C28" s="13">
        <v>0.02171105416836383</v>
      </c>
      <c r="D28" s="13">
        <v>0.19146282078068566</v>
      </c>
      <c r="E28" s="13">
        <v>0.21947225455046038</v>
      </c>
      <c r="F28" s="19"/>
    </row>
    <row r="29" spans="1:6" s="4" customFormat="1" ht="31.5">
      <c r="A29" s="153" t="s">
        <v>19</v>
      </c>
      <c r="B29" s="13">
        <f>'[5]ЕКТ'!$M$87</f>
        <v>2166188.63</v>
      </c>
      <c r="C29" s="13">
        <f>'[9]прил 3 (28.07)'!F29</f>
        <v>2175871.379183903</v>
      </c>
      <c r="D29" s="13"/>
      <c r="E29" s="13"/>
      <c r="F29" s="19"/>
    </row>
    <row r="30" spans="1:10" s="4" customFormat="1" ht="15.75">
      <c r="A30" s="153" t="s">
        <v>20</v>
      </c>
      <c r="B30" s="13">
        <f>'[5]ЕКТ'!$M$88</f>
        <v>447.55</v>
      </c>
      <c r="C30" s="13">
        <f>'[9]прил 3 (28.07)'!F30</f>
        <v>982.3490967514034</v>
      </c>
      <c r="D30" s="13"/>
      <c r="E30" s="13"/>
      <c r="F30" s="19"/>
      <c r="J30" s="15"/>
    </row>
    <row r="31" spans="1:9" s="4" customFormat="1" ht="15.75">
      <c r="A31" s="153" t="s">
        <v>21</v>
      </c>
      <c r="B31" s="13">
        <f>'[5]ЕКТ'!$M$89</f>
        <v>4998.41</v>
      </c>
      <c r="C31" s="13">
        <f>'[9]прил 3 (28.07)'!F31</f>
        <v>5179.325395534348</v>
      </c>
      <c r="D31" s="13">
        <f>'[5]ЕКТ'!$J$47</f>
        <v>1539.921047630126</v>
      </c>
      <c r="E31" s="13"/>
      <c r="F31" s="19"/>
      <c r="I31" s="25"/>
    </row>
    <row r="32" spans="1:9" s="4" customFormat="1" ht="15.75" hidden="1">
      <c r="A32" s="153"/>
      <c r="B32" s="26">
        <f>B31/B12*100-100</f>
        <v>10.688858722731439</v>
      </c>
      <c r="C32" s="26">
        <f>C31/C12*100-100</f>
        <v>8.842055397616264</v>
      </c>
      <c r="D32" s="26">
        <f>D31/D12*100-100</f>
        <v>20.415458355238016</v>
      </c>
      <c r="E32" s="13"/>
      <c r="F32" s="19"/>
      <c r="I32" s="25"/>
    </row>
    <row r="33" spans="1:6" s="4" customFormat="1" ht="15.75">
      <c r="A33" s="153" t="s">
        <v>22</v>
      </c>
      <c r="B33" s="13">
        <f>B27*B30+B28*B29*0.005</f>
        <v>74.92616590000097</v>
      </c>
      <c r="C33" s="13">
        <f>C27*C30+C28*C29*0.005</f>
        <v>291.48809542519285</v>
      </c>
      <c r="D33" s="13">
        <f>D27*D31</f>
        <v>856.3949411546876</v>
      </c>
      <c r="E33" s="24">
        <f>B33+C33+D33</f>
        <v>1222.8092024798814</v>
      </c>
      <c r="F33" s="19"/>
    </row>
    <row r="34" spans="1:6" s="4" customFormat="1" ht="15.75" hidden="1">
      <c r="A34" s="153"/>
      <c r="B34" s="13"/>
      <c r="C34" s="13">
        <f>(C28*0.005*C29+C27*C30)/C27</f>
        <v>5179.325009405959</v>
      </c>
      <c r="D34" s="13"/>
      <c r="E34" s="13"/>
      <c r="F34" s="27"/>
    </row>
    <row r="35" spans="1:6" s="4" customFormat="1" ht="15.75">
      <c r="A35" s="153"/>
      <c r="B35" s="13"/>
      <c r="C35" s="13"/>
      <c r="D35" s="13"/>
      <c r="E35" s="13"/>
      <c r="F35" s="27"/>
    </row>
    <row r="36" spans="1:6" s="4" customFormat="1" ht="15.75">
      <c r="A36" s="154" t="s">
        <v>31</v>
      </c>
      <c r="B36" s="13"/>
      <c r="C36" s="13"/>
      <c r="D36" s="13"/>
      <c r="E36" s="13"/>
      <c r="F36" s="27"/>
    </row>
    <row r="37" spans="1:7" s="4" customFormat="1" ht="15.75">
      <c r="A37" s="153" t="s">
        <v>16</v>
      </c>
      <c r="B37" s="13">
        <f>B8+B27+B17</f>
        <v>0.034280000000000005</v>
      </c>
      <c r="C37" s="13">
        <f>C8+C27+C17</f>
        <v>0.203251</v>
      </c>
      <c r="D37" s="13">
        <f>D8+D27+D17</f>
        <v>1.5754029747753602</v>
      </c>
      <c r="E37" s="13">
        <f>B37+C37+D37</f>
        <v>1.8129339747753601</v>
      </c>
      <c r="F37" s="30"/>
      <c r="G37" s="31"/>
    </row>
    <row r="38" spans="1:9" s="4" customFormat="1" ht="15.75">
      <c r="A38" s="153" t="s">
        <v>22</v>
      </c>
      <c r="B38" s="13">
        <f>B13+B33+B22</f>
        <v>163.48167224006377</v>
      </c>
      <c r="C38" s="13">
        <f>C13+C33+C22</f>
        <v>996.320230136818</v>
      </c>
      <c r="D38" s="13">
        <f>D13+D33+D22</f>
        <v>2188.92206900975</v>
      </c>
      <c r="E38" s="24">
        <f>E13+E33+E22</f>
        <v>3348.7239713866325</v>
      </c>
      <c r="F38" s="19"/>
      <c r="G38" s="31"/>
      <c r="I38" s="31"/>
    </row>
    <row r="39" spans="1:8" s="45" customFormat="1" ht="15.75">
      <c r="A39" s="39"/>
      <c r="B39" s="41"/>
      <c r="C39" s="41"/>
      <c r="D39" s="41"/>
      <c r="E39" s="41"/>
      <c r="F39" s="43"/>
      <c r="G39" s="44"/>
      <c r="H39" s="44"/>
    </row>
    <row r="41" spans="5:8" ht="12.75" hidden="1">
      <c r="E41" s="67"/>
      <c r="H41" s="64"/>
    </row>
    <row r="42" ht="12.75">
      <c r="E42" s="64"/>
    </row>
  </sheetData>
  <sheetProtection/>
  <mergeCells count="6">
    <mergeCell ref="C1:E1"/>
    <mergeCell ref="A3:E3"/>
    <mergeCell ref="A5:A6"/>
    <mergeCell ref="B5:C5"/>
    <mergeCell ref="D5:D6"/>
    <mergeCell ref="E5:E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5">
      <formula1>900</formula1>
    </dataValidation>
    <dataValidation type="decimal" allowBlank="1" showErrorMessage="1" errorTitle="Ошибка" error="Допускается ввод только действительных чисел!" sqref="D24:D25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4"/>
  <sheetViews>
    <sheetView view="pageBreakPreview" zoomScale="70" zoomScaleSheetLayoutView="70" workbookViewId="0" topLeftCell="A1">
      <pane xSplit="2" ySplit="9" topLeftCell="E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44" sqref="M44"/>
    </sheetView>
  </sheetViews>
  <sheetFormatPr defaultColWidth="9.00390625" defaultRowHeight="12.75"/>
  <cols>
    <col min="1" max="1" width="4.375" style="70" customWidth="1"/>
    <col min="2" max="2" width="40.625" style="71" customWidth="1"/>
    <col min="3" max="3" width="12.75390625" style="72" customWidth="1"/>
    <col min="4" max="4" width="14.125" style="72" customWidth="1"/>
    <col min="5" max="5" width="12.875" style="72" customWidth="1"/>
    <col min="6" max="6" width="13.125" style="72" customWidth="1"/>
    <col min="7" max="7" width="14.75390625" style="72" customWidth="1"/>
    <col min="8" max="8" width="10.125" style="72" customWidth="1"/>
    <col min="9" max="9" width="13.625" style="72" customWidth="1"/>
    <col min="10" max="10" width="14.125" style="71" customWidth="1"/>
    <col min="11" max="11" width="12.125" style="71" customWidth="1"/>
    <col min="12" max="12" width="12.625" style="71" customWidth="1"/>
    <col min="13" max="13" width="12.375" style="71" customWidth="1"/>
    <col min="14" max="14" width="13.25390625" style="71" customWidth="1"/>
    <col min="15" max="15" width="13.00390625" style="71" customWidth="1"/>
    <col min="16" max="16" width="12.25390625" style="71" bestFit="1" customWidth="1"/>
    <col min="17" max="17" width="12.875" style="71" customWidth="1"/>
    <col min="18" max="18" width="13.00390625" style="71" customWidth="1"/>
    <col min="19" max="19" width="13.625" style="71" customWidth="1"/>
    <col min="20" max="20" width="13.625" style="71" bestFit="1" customWidth="1"/>
    <col min="21" max="21" width="10.375" style="71" bestFit="1" customWidth="1"/>
    <col min="22" max="22" width="12.75390625" style="71" bestFit="1" customWidth="1"/>
    <col min="23" max="23" width="11.75390625" style="71" bestFit="1" customWidth="1"/>
    <col min="24" max="24" width="14.375" style="71" bestFit="1" customWidth="1"/>
    <col min="25" max="25" width="9.125" style="71" customWidth="1"/>
    <col min="26" max="26" width="14.125" style="71" bestFit="1" customWidth="1"/>
    <col min="27" max="29" width="10.00390625" style="71" bestFit="1" customWidth="1"/>
    <col min="30" max="16384" width="9.125" style="71" customWidth="1"/>
  </cols>
  <sheetData>
    <row r="1" spans="10:19" ht="31.5" customHeight="1">
      <c r="J1" s="68"/>
      <c r="K1" s="68"/>
      <c r="L1" s="193" t="s">
        <v>111</v>
      </c>
      <c r="M1" s="193"/>
      <c r="N1" s="193"/>
      <c r="O1" s="193"/>
      <c r="P1" s="193"/>
      <c r="Q1" s="193"/>
      <c r="R1" s="193"/>
      <c r="S1" s="193"/>
    </row>
    <row r="2" spans="9:15" ht="3.75" customHeight="1">
      <c r="I2" s="73"/>
      <c r="J2" s="74"/>
      <c r="K2" s="74"/>
      <c r="L2" s="74"/>
      <c r="M2" s="74"/>
      <c r="N2" s="74"/>
      <c r="O2" s="74"/>
    </row>
    <row r="3" spans="1:19" ht="18" customHeight="1">
      <c r="A3" s="176" t="s">
        <v>38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ht="5.25" customHeight="1" thickBot="1"/>
    <row r="5" spans="1:19" s="75" customFormat="1" ht="15" customHeight="1">
      <c r="A5" s="177" t="s">
        <v>39</v>
      </c>
      <c r="B5" s="179" t="s">
        <v>40</v>
      </c>
      <c r="C5" s="207" t="s">
        <v>41</v>
      </c>
      <c r="D5" s="207"/>
      <c r="E5" s="207"/>
      <c r="F5" s="207" t="s">
        <v>42</v>
      </c>
      <c r="G5" s="207"/>
      <c r="H5" s="207"/>
      <c r="I5" s="207" t="s">
        <v>43</v>
      </c>
      <c r="J5" s="207"/>
      <c r="K5" s="207"/>
      <c r="L5" s="179" t="s">
        <v>44</v>
      </c>
      <c r="M5" s="179" t="s">
        <v>45</v>
      </c>
      <c r="N5" s="179"/>
      <c r="O5" s="179"/>
      <c r="P5" s="179" t="s">
        <v>46</v>
      </c>
      <c r="Q5" s="179"/>
      <c r="R5" s="169"/>
      <c r="S5" s="170"/>
    </row>
    <row r="6" spans="1:22" s="75" customFormat="1" ht="11.25" customHeight="1">
      <c r="A6" s="178"/>
      <c r="B6" s="210"/>
      <c r="C6" s="208"/>
      <c r="D6" s="208"/>
      <c r="E6" s="208"/>
      <c r="F6" s="208"/>
      <c r="G6" s="208"/>
      <c r="H6" s="208"/>
      <c r="I6" s="208"/>
      <c r="J6" s="208"/>
      <c r="K6" s="208"/>
      <c r="L6" s="210"/>
      <c r="M6" s="210"/>
      <c r="N6" s="210"/>
      <c r="O6" s="210"/>
      <c r="P6" s="210"/>
      <c r="Q6" s="210"/>
      <c r="R6" s="210"/>
      <c r="S6" s="174"/>
      <c r="U6" s="175"/>
      <c r="V6" s="175"/>
    </row>
    <row r="7" spans="1:22" s="75" customFormat="1" ht="14.25" customHeight="1">
      <c r="A7" s="178"/>
      <c r="B7" s="210"/>
      <c r="C7" s="208" t="s">
        <v>47</v>
      </c>
      <c r="D7" s="208" t="s">
        <v>48</v>
      </c>
      <c r="E7" s="208" t="s">
        <v>28</v>
      </c>
      <c r="F7" s="180" t="s">
        <v>47</v>
      </c>
      <c r="G7" s="208" t="s">
        <v>48</v>
      </c>
      <c r="H7" s="208" t="s">
        <v>28</v>
      </c>
      <c r="I7" s="208" t="s">
        <v>47</v>
      </c>
      <c r="J7" s="208" t="s">
        <v>48</v>
      </c>
      <c r="K7" s="208" t="s">
        <v>28</v>
      </c>
      <c r="L7" s="210"/>
      <c r="M7" s="210" t="s">
        <v>41</v>
      </c>
      <c r="N7" s="210" t="s">
        <v>42</v>
      </c>
      <c r="O7" s="208" t="s">
        <v>43</v>
      </c>
      <c r="P7" s="210" t="s">
        <v>31</v>
      </c>
      <c r="Q7" s="210" t="s">
        <v>41</v>
      </c>
      <c r="R7" s="210" t="s">
        <v>42</v>
      </c>
      <c r="S7" s="174" t="s">
        <v>43</v>
      </c>
      <c r="U7" s="209"/>
      <c r="V7" s="209"/>
    </row>
    <row r="8" spans="1:33" s="75" customFormat="1" ht="63" customHeight="1">
      <c r="A8" s="178"/>
      <c r="B8" s="210"/>
      <c r="C8" s="208"/>
      <c r="D8" s="208"/>
      <c r="E8" s="208"/>
      <c r="F8" s="180"/>
      <c r="G8" s="208"/>
      <c r="H8" s="208"/>
      <c r="I8" s="208"/>
      <c r="J8" s="208"/>
      <c r="K8" s="208"/>
      <c r="L8" s="210"/>
      <c r="M8" s="210"/>
      <c r="N8" s="210"/>
      <c r="O8" s="208"/>
      <c r="P8" s="210"/>
      <c r="Q8" s="210"/>
      <c r="R8" s="210"/>
      <c r="S8" s="174"/>
      <c r="T8" s="80"/>
      <c r="U8" s="209"/>
      <c r="V8" s="209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1:33" s="75" customFormat="1" ht="12.75" customHeight="1">
      <c r="A9" s="76">
        <v>1</v>
      </c>
      <c r="B9" s="77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8">
        <v>11</v>
      </c>
      <c r="L9" s="77">
        <v>12</v>
      </c>
      <c r="M9" s="77">
        <v>13</v>
      </c>
      <c r="N9" s="77">
        <v>14</v>
      </c>
      <c r="O9" s="78">
        <v>15</v>
      </c>
      <c r="P9" s="77">
        <v>16</v>
      </c>
      <c r="Q9" s="77">
        <v>17</v>
      </c>
      <c r="R9" s="77">
        <v>18</v>
      </c>
      <c r="S9" s="79">
        <v>19</v>
      </c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</row>
    <row r="10" spans="1:33" ht="40.5" customHeight="1">
      <c r="A10" s="81" t="s">
        <v>49</v>
      </c>
      <c r="B10" s="82" t="s">
        <v>50</v>
      </c>
      <c r="C10" s="83">
        <f>'[12]20.12.2016'!$F$789/1000*0.89</f>
        <v>494.8771130000001</v>
      </c>
      <c r="D10" s="84">
        <f>'[11]перетоки ээ(1полуг)'!$E$67/1000</f>
        <v>369.9923293506887</v>
      </c>
      <c r="E10" s="85">
        <f>'[11]перетоки ээ(1полуг)'!$E$36/1000</f>
        <v>91.8555</v>
      </c>
      <c r="F10" s="83">
        <f>'[12]20.12.2016'!$F$789/1000*0.89</f>
        <v>494.8771130000001</v>
      </c>
      <c r="G10" s="85">
        <v>55.1017333993259</v>
      </c>
      <c r="H10" s="85">
        <v>13.9279</v>
      </c>
      <c r="I10" s="83">
        <f>C10</f>
        <v>494.8771130000001</v>
      </c>
      <c r="J10" s="84">
        <v>278.505941011536</v>
      </c>
      <c r="K10" s="85">
        <v>69.6395</v>
      </c>
      <c r="L10" s="86">
        <v>2020949.07</v>
      </c>
      <c r="M10" s="86">
        <f>(M12*E12+M13*E13+M14*E14)/E10</f>
        <v>2939.9627503640245</v>
      </c>
      <c r="N10" s="86">
        <f>(N12*H12+N13*H13+N14*H14)/H10</f>
        <v>2857.7438221147086</v>
      </c>
      <c r="O10" s="86">
        <f>(O12*K12+O13*K13+O14*K14)/K10</f>
        <v>2468.8196074127513</v>
      </c>
      <c r="P10" s="87">
        <f>Q10+S10+R10</f>
        <v>481781.48164651444</v>
      </c>
      <c r="Q10" s="86">
        <f>Q12+Q13+Q14</f>
        <v>270051.7484160627</v>
      </c>
      <c r="R10" s="86">
        <f>R12+R13+R14</f>
        <v>39802.370180031445</v>
      </c>
      <c r="S10" s="88">
        <f>S12+S13+S14</f>
        <v>171927.3630504203</v>
      </c>
      <c r="T10" s="89"/>
      <c r="U10" s="90"/>
      <c r="V10" s="90"/>
      <c r="W10" s="91"/>
      <c r="X10" s="89"/>
      <c r="Y10" s="92"/>
      <c r="Z10" s="92"/>
      <c r="AA10" s="92"/>
      <c r="AB10" s="92"/>
      <c r="AC10" s="92"/>
      <c r="AD10" s="92"/>
      <c r="AE10" s="89"/>
      <c r="AF10" s="93"/>
      <c r="AG10" s="91"/>
    </row>
    <row r="11" spans="1:33" ht="15" customHeight="1">
      <c r="A11" s="81"/>
      <c r="B11" s="94" t="s">
        <v>27</v>
      </c>
      <c r="C11" s="83"/>
      <c r="D11" s="84"/>
      <c r="E11" s="85"/>
      <c r="F11" s="83"/>
      <c r="G11" s="85"/>
      <c r="H11" s="85"/>
      <c r="I11" s="83"/>
      <c r="J11" s="84"/>
      <c r="K11" s="95"/>
      <c r="L11" s="96"/>
      <c r="M11" s="96"/>
      <c r="N11" s="96"/>
      <c r="O11" s="96"/>
      <c r="P11" s="97"/>
      <c r="Q11" s="96"/>
      <c r="R11" s="96"/>
      <c r="S11" s="98"/>
      <c r="T11" s="99"/>
      <c r="U11" s="90"/>
      <c r="V11" s="90"/>
      <c r="W11" s="91"/>
      <c r="X11" s="89"/>
      <c r="Y11" s="92"/>
      <c r="Z11" s="92"/>
      <c r="AA11" s="92"/>
      <c r="AB11" s="92"/>
      <c r="AC11" s="92"/>
      <c r="AD11" s="92"/>
      <c r="AE11" s="89"/>
      <c r="AF11" s="93"/>
      <c r="AG11" s="91"/>
    </row>
    <row r="12" spans="1:33" ht="15" customHeight="1">
      <c r="A12" s="81"/>
      <c r="B12" s="94" t="s">
        <v>34</v>
      </c>
      <c r="C12" s="83"/>
      <c r="D12" s="84"/>
      <c r="E12" s="95">
        <f>'[11]перетоки ээ(1полуг)'!$E$37/1000</f>
        <v>75.256306</v>
      </c>
      <c r="F12" s="100"/>
      <c r="G12" s="85"/>
      <c r="H12" s="95">
        <v>11.1934655271411</v>
      </c>
      <c r="I12" s="100"/>
      <c r="J12" s="101"/>
      <c r="K12" s="95">
        <v>55.9673276357057</v>
      </c>
      <c r="L12" s="100"/>
      <c r="M12" s="96">
        <f>'[1]Расчет тарифа на потери'!B8</f>
        <v>2024.737638446231</v>
      </c>
      <c r="N12" s="96">
        <f>'[1]Расчет тарифа на потери'!C8</f>
        <v>2006.2654436274013</v>
      </c>
      <c r="O12" s="96">
        <f>'[1]Расчет тарифа на потери'!D8</f>
        <v>1825.8947350762724</v>
      </c>
      <c r="P12" s="97">
        <f>Q12+S12+R12</f>
        <v>277021.7872364885</v>
      </c>
      <c r="Q12" s="96">
        <f>E12*M12</f>
        <v>152374.2752886269</v>
      </c>
      <c r="R12" s="96">
        <f>H12*N12</f>
        <v>22457.063081537763</v>
      </c>
      <c r="S12" s="98">
        <f>K12*O12</f>
        <v>102190.4488663238</v>
      </c>
      <c r="T12" s="89"/>
      <c r="U12" s="90"/>
      <c r="V12" s="90"/>
      <c r="W12" s="91"/>
      <c r="X12" s="89"/>
      <c r="Y12" s="92"/>
      <c r="Z12" s="92"/>
      <c r="AA12" s="92"/>
      <c r="AB12" s="92"/>
      <c r="AC12" s="92"/>
      <c r="AD12" s="92"/>
      <c r="AE12" s="89"/>
      <c r="AF12" s="93"/>
      <c r="AG12" s="91"/>
    </row>
    <row r="13" spans="1:33" ht="17.25" customHeight="1">
      <c r="A13" s="81"/>
      <c r="B13" s="94" t="s">
        <v>35</v>
      </c>
      <c r="C13" s="83"/>
      <c r="D13" s="84"/>
      <c r="E13" s="95">
        <f>'[11]перетоки ээ(1полуг)'!$E$38/1000</f>
        <v>0.6224939999999998</v>
      </c>
      <c r="F13" s="100"/>
      <c r="G13" s="85"/>
      <c r="H13" s="95">
        <v>0.180784472858866</v>
      </c>
      <c r="I13" s="100"/>
      <c r="J13" s="101"/>
      <c r="K13" s="95">
        <v>0.903922364294333</v>
      </c>
      <c r="L13" s="96"/>
      <c r="M13" s="96">
        <f>'[1]Расчет тарифа на потери'!B26</f>
        <v>1546.737638446231</v>
      </c>
      <c r="N13" s="96">
        <f>'[1]Расчет тарифа на потери'!C26</f>
        <v>1186.9354436274014</v>
      </c>
      <c r="O13" s="96">
        <f>'[1]Расчет тарифа на потери'!D26</f>
        <v>1332.3147350762724</v>
      </c>
      <c r="P13" s="97">
        <f>Q13+S13+R13</f>
        <v>2381.723483314954</v>
      </c>
      <c r="Q13" s="96">
        <f>E13*M13</f>
        <v>962.8348995069477</v>
      </c>
      <c r="R13" s="96">
        <f>H13*N13</f>
        <v>214.579498493684</v>
      </c>
      <c r="S13" s="98">
        <f>K13*O13</f>
        <v>1204.3090853143221</v>
      </c>
      <c r="T13" s="89"/>
      <c r="U13" s="91"/>
      <c r="V13" s="91"/>
      <c r="W13" s="91"/>
      <c r="X13" s="89"/>
      <c r="Y13" s="92"/>
      <c r="Z13" s="92"/>
      <c r="AA13" s="92"/>
      <c r="AB13" s="92"/>
      <c r="AC13" s="92"/>
      <c r="AD13" s="92"/>
      <c r="AE13" s="89"/>
      <c r="AF13" s="93"/>
      <c r="AG13" s="91"/>
    </row>
    <row r="14" spans="1:33" ht="18.75" customHeight="1">
      <c r="A14" s="81"/>
      <c r="B14" s="94" t="s">
        <v>51</v>
      </c>
      <c r="C14" s="83"/>
      <c r="D14" s="84"/>
      <c r="E14" s="95">
        <f>'[11]перетоки ээ(1полуг)'!$E$45/1000</f>
        <v>15.976700000000001</v>
      </c>
      <c r="F14" s="100"/>
      <c r="G14" s="85"/>
      <c r="H14" s="95">
        <v>2.55365</v>
      </c>
      <c r="I14" s="100"/>
      <c r="J14" s="101"/>
      <c r="K14" s="95">
        <v>12.76825</v>
      </c>
      <c r="L14" s="96"/>
      <c r="M14" s="102">
        <f>'[1]Расчет тарифа на потери'!B46</f>
        <v>7305.303237084555</v>
      </c>
      <c r="N14" s="102">
        <f>'[1]Расчет тарифа на потери'!C46</f>
        <v>6708.330272355254</v>
      </c>
      <c r="O14" s="96">
        <f>'[1]Расчет тарифа на потери'!D46</f>
        <v>5367.423499601135</v>
      </c>
      <c r="P14" s="97">
        <f>Q14+S14+R14</f>
        <v>202377.970926711</v>
      </c>
      <c r="Q14" s="96">
        <f>E14*M14</f>
        <v>116714.63822792882</v>
      </c>
      <c r="R14" s="96">
        <f>H14*N14</f>
        <v>17130.727599999995</v>
      </c>
      <c r="S14" s="98">
        <f>K14*O14</f>
        <v>68532.6050987822</v>
      </c>
      <c r="T14" s="89"/>
      <c r="U14" s="91"/>
      <c r="V14" s="91"/>
      <c r="W14" s="91"/>
      <c r="X14" s="89"/>
      <c r="Y14" s="92"/>
      <c r="Z14" s="92"/>
      <c r="AA14" s="92"/>
      <c r="AB14" s="92"/>
      <c r="AC14" s="92"/>
      <c r="AD14" s="92"/>
      <c r="AE14" s="89"/>
      <c r="AF14" s="93"/>
      <c r="AG14" s="91"/>
    </row>
    <row r="15" spans="1:33" ht="38.25" customHeight="1">
      <c r="A15" s="81" t="s">
        <v>52</v>
      </c>
      <c r="B15" s="82" t="s">
        <v>53</v>
      </c>
      <c r="C15" s="83">
        <f>'[12]20.12.2016'!$F$214/1000*0.89</f>
        <v>577.13652</v>
      </c>
      <c r="D15" s="84">
        <f>'[11]перетоки ээ(1полуг)'!$G$67/1000</f>
        <v>344.0007238159001</v>
      </c>
      <c r="E15" s="85">
        <f>'[11]перетоки ээ(1полуг)'!$G$36/1000</f>
        <v>58.428035743572394</v>
      </c>
      <c r="F15" s="83">
        <f>'[12]20.12.2016'!$F$214/1000*0.89</f>
        <v>577.13652</v>
      </c>
      <c r="G15" s="85">
        <v>51.8784199982754</v>
      </c>
      <c r="H15" s="85">
        <v>8.88488134159319</v>
      </c>
      <c r="I15" s="83">
        <f>C15</f>
        <v>577.13652</v>
      </c>
      <c r="J15" s="84">
        <v>265.8810713212</v>
      </c>
      <c r="K15" s="85">
        <v>44.424406707966</v>
      </c>
      <c r="L15" s="86">
        <v>511748.98</v>
      </c>
      <c r="M15" s="86">
        <f>(M17*E17+M18*E18)/E15</f>
        <v>1558.8231745727765</v>
      </c>
      <c r="N15" s="86">
        <f>(N17*H17+N18*H18)/H15</f>
        <v>1198.8528967248692</v>
      </c>
      <c r="O15" s="86">
        <f>(O17*K17+O18*K18)/K15</f>
        <v>1196.2293391115556</v>
      </c>
      <c r="P15" s="87">
        <f>Q15+S15+R15</f>
        <v>213166.05951388154</v>
      </c>
      <c r="Q15" s="87">
        <f>Q17+Q18+Q19</f>
        <v>91078.97616184717</v>
      </c>
      <c r="R15" s="87">
        <f>R17+R18+R19</f>
        <v>10651.665733425738</v>
      </c>
      <c r="S15" s="105">
        <f>S17+S18+S19</f>
        <v>111435.41761860866</v>
      </c>
      <c r="T15" s="89"/>
      <c r="U15" s="90"/>
      <c r="V15" s="90"/>
      <c r="W15" s="91"/>
      <c r="X15" s="89"/>
      <c r="Y15" s="92"/>
      <c r="Z15" s="92"/>
      <c r="AA15" s="92"/>
      <c r="AB15" s="92"/>
      <c r="AC15" s="92"/>
      <c r="AD15" s="92"/>
      <c r="AE15" s="89"/>
      <c r="AF15" s="93"/>
      <c r="AG15" s="91"/>
    </row>
    <row r="16" spans="1:33" ht="13.5" customHeight="1">
      <c r="A16" s="81"/>
      <c r="B16" s="94" t="s">
        <v>27</v>
      </c>
      <c r="C16" s="83"/>
      <c r="D16" s="84"/>
      <c r="E16" s="85"/>
      <c r="F16" s="83"/>
      <c r="G16" s="85"/>
      <c r="H16" s="85"/>
      <c r="I16" s="83"/>
      <c r="J16" s="84"/>
      <c r="K16" s="95"/>
      <c r="L16" s="96"/>
      <c r="M16" s="96"/>
      <c r="N16" s="96"/>
      <c r="O16" s="96"/>
      <c r="P16" s="97"/>
      <c r="Q16" s="96"/>
      <c r="R16" s="96"/>
      <c r="S16" s="98"/>
      <c r="T16" s="99"/>
      <c r="U16" s="90"/>
      <c r="V16" s="90"/>
      <c r="W16" s="91"/>
      <c r="X16" s="89"/>
      <c r="Y16" s="92"/>
      <c r="Z16" s="92"/>
      <c r="AA16" s="92"/>
      <c r="AB16" s="92"/>
      <c r="AC16" s="92"/>
      <c r="AD16" s="92"/>
      <c r="AE16" s="89"/>
      <c r="AF16" s="93"/>
      <c r="AG16" s="91"/>
    </row>
    <row r="17" spans="1:33" ht="17.25" customHeight="1">
      <c r="A17" s="81"/>
      <c r="B17" s="94" t="s">
        <v>34</v>
      </c>
      <c r="C17" s="83"/>
      <c r="D17" s="84"/>
      <c r="E17" s="95">
        <f>'[11]перетоки ээ(1полуг)'!$G$37/1000</f>
        <v>1.4772680685816886</v>
      </c>
      <c r="F17" s="100"/>
      <c r="G17" s="95"/>
      <c r="H17" s="95">
        <v>0.129233833333333</v>
      </c>
      <c r="I17" s="100"/>
      <c r="J17" s="101"/>
      <c r="K17" s="95">
        <v>0.646169166666667</v>
      </c>
      <c r="L17" s="96"/>
      <c r="M17" s="96">
        <f>M12</f>
        <v>2024.737638446231</v>
      </c>
      <c r="N17" s="96">
        <f>N12</f>
        <v>2006.2654436274013</v>
      </c>
      <c r="O17" s="96">
        <f>O12</f>
        <v>1825.8947350762724</v>
      </c>
      <c r="P17" s="97">
        <f>Q17+S17+R17</f>
        <v>4430.194513881572</v>
      </c>
      <c r="Q17" s="96">
        <f>E17*M17</f>
        <v>2991.080260532113</v>
      </c>
      <c r="R17" s="96">
        <f>H17*N17</f>
        <v>259.27737396416893</v>
      </c>
      <c r="S17" s="98">
        <f>K17*O17</f>
        <v>1179.8368793852896</v>
      </c>
      <c r="T17" s="89"/>
      <c r="U17" s="103"/>
      <c r="V17" s="90"/>
      <c r="W17" s="104"/>
      <c r="X17" s="89"/>
      <c r="Y17" s="92"/>
      <c r="Z17" s="92"/>
      <c r="AA17" s="92"/>
      <c r="AB17" s="92"/>
      <c r="AC17" s="92"/>
      <c r="AD17" s="92"/>
      <c r="AE17" s="89"/>
      <c r="AF17" s="93"/>
      <c r="AG17" s="91"/>
    </row>
    <row r="18" spans="1:33" ht="17.25" customHeight="1">
      <c r="A18" s="81"/>
      <c r="B18" s="94" t="s">
        <v>35</v>
      </c>
      <c r="C18" s="83"/>
      <c r="D18" s="84"/>
      <c r="E18" s="95">
        <f>'[11]перетоки ээ(1полуг)'!$G$38/1000</f>
        <v>56.9507676749907</v>
      </c>
      <c r="F18" s="100"/>
      <c r="G18" s="95"/>
      <c r="H18" s="95">
        <v>8.75564750825986</v>
      </c>
      <c r="I18" s="100"/>
      <c r="J18" s="101"/>
      <c r="K18" s="95">
        <v>43.7782375412993</v>
      </c>
      <c r="L18" s="96"/>
      <c r="M18" s="96">
        <f>M13</f>
        <v>1546.737638446231</v>
      </c>
      <c r="N18" s="96">
        <f>N13</f>
        <v>1186.9354436274014</v>
      </c>
      <c r="O18" s="96">
        <f>'[1]Расчет тарифа на потери'!D32</f>
        <v>1186.9354436274014</v>
      </c>
      <c r="P18" s="97">
        <f>Q18+S18+R18</f>
        <v>150442.22605808446</v>
      </c>
      <c r="Q18" s="96">
        <f>E18*M18</f>
        <v>88087.89590131506</v>
      </c>
      <c r="R18" s="96">
        <f>H18*N18</f>
        <v>10392.388359461569</v>
      </c>
      <c r="S18" s="98">
        <f>K18*O18</f>
        <v>51961.94179730784</v>
      </c>
      <c r="T18" s="89"/>
      <c r="U18" s="91"/>
      <c r="V18" s="91"/>
      <c r="W18" s="91"/>
      <c r="X18" s="89"/>
      <c r="Y18" s="92"/>
      <c r="Z18" s="92"/>
      <c r="AA18" s="92"/>
      <c r="AB18" s="92"/>
      <c r="AC18" s="92"/>
      <c r="AD18" s="92"/>
      <c r="AE18" s="89"/>
      <c r="AF18" s="93"/>
      <c r="AG18" s="91"/>
    </row>
    <row r="19" spans="1:33" ht="30" customHeight="1">
      <c r="A19" s="81"/>
      <c r="B19" s="94" t="s">
        <v>110</v>
      </c>
      <c r="C19" s="83"/>
      <c r="D19" s="84"/>
      <c r="E19" s="95"/>
      <c r="F19" s="100"/>
      <c r="G19" s="95"/>
      <c r="H19" s="95"/>
      <c r="I19" s="100"/>
      <c r="J19" s="101"/>
      <c r="K19" s="95"/>
      <c r="L19" s="96"/>
      <c r="M19" s="96"/>
      <c r="N19" s="96"/>
      <c r="O19" s="96"/>
      <c r="P19" s="97">
        <f>Q19+S19+R19</f>
        <v>58293.638941915524</v>
      </c>
      <c r="Q19" s="96"/>
      <c r="R19" s="96"/>
      <c r="S19" s="98">
        <f>'[1]Расчет тарифа на потери'!D37</f>
        <v>58293.638941915524</v>
      </c>
      <c r="T19" s="89"/>
      <c r="U19" s="91"/>
      <c r="V19" s="91"/>
      <c r="W19" s="91"/>
      <c r="X19" s="89"/>
      <c r="Y19" s="92"/>
      <c r="Z19" s="92"/>
      <c r="AA19" s="92"/>
      <c r="AB19" s="92"/>
      <c r="AC19" s="92"/>
      <c r="AD19" s="92"/>
      <c r="AE19" s="89"/>
      <c r="AF19" s="93"/>
      <c r="AG19" s="91"/>
    </row>
    <row r="20" spans="1:22" ht="65.25" customHeight="1">
      <c r="A20" s="81" t="s">
        <v>54</v>
      </c>
      <c r="B20" s="82" t="s">
        <v>55</v>
      </c>
      <c r="C20" s="83">
        <f>'[12]20.12.2016'!$F$335/1000*0.89</f>
        <v>866.2704995999999</v>
      </c>
      <c r="D20" s="84">
        <f>'[11]перетоки ээ(1полуг)'!$F$67/1000</f>
        <v>517.4553364586268</v>
      </c>
      <c r="E20" s="85">
        <f>E22+E23</f>
        <v>7.7775</v>
      </c>
      <c r="F20" s="83">
        <f>'[12]20.12.2016'!$F$335/1000*0.89</f>
        <v>866.2704995999999</v>
      </c>
      <c r="G20" s="85">
        <v>72.3847926438999</v>
      </c>
      <c r="H20" s="85">
        <v>1.19635</v>
      </c>
      <c r="I20" s="83">
        <f>C20</f>
        <v>866.2704995999999</v>
      </c>
      <c r="J20" s="84">
        <v>361.9239632195</v>
      </c>
      <c r="K20" s="85">
        <v>5.98175</v>
      </c>
      <c r="L20" s="86">
        <v>244093.79</v>
      </c>
      <c r="M20" s="86">
        <f>(M22*E22+M23*E23)/E20</f>
        <v>1636.4307223420842</v>
      </c>
      <c r="N20" s="86">
        <f>(N22*H22+N23*H23)/H20</f>
        <v>1265.7637535283473</v>
      </c>
      <c r="O20" s="86">
        <f>(O22*K22+O23*K23)/K20</f>
        <v>1379.8024106171545</v>
      </c>
      <c r="P20" s="87">
        <f>Q20+S20+R20</f>
        <v>22495.26947925836</v>
      </c>
      <c r="Q20" s="87">
        <f>Q22+Q23</f>
        <v>12727.33994301556</v>
      </c>
      <c r="R20" s="87">
        <f>R22+R23</f>
        <v>1514.2964665336383</v>
      </c>
      <c r="S20" s="105">
        <f>S22+S23</f>
        <v>8253.633069709163</v>
      </c>
      <c r="U20" s="90"/>
      <c r="V20" s="90"/>
    </row>
    <row r="21" spans="1:22" ht="13.5">
      <c r="A21" s="81"/>
      <c r="B21" s="94" t="s">
        <v>27</v>
      </c>
      <c r="C21" s="83"/>
      <c r="D21" s="84"/>
      <c r="E21" s="85"/>
      <c r="F21" s="83"/>
      <c r="G21" s="85"/>
      <c r="H21" s="85"/>
      <c r="I21" s="83"/>
      <c r="J21" s="84"/>
      <c r="K21" s="85"/>
      <c r="L21" s="86"/>
      <c r="M21" s="86"/>
      <c r="N21" s="86"/>
      <c r="O21" s="86"/>
      <c r="P21" s="87"/>
      <c r="Q21" s="87"/>
      <c r="R21" s="87"/>
      <c r="S21" s="105"/>
      <c r="T21" s="99"/>
      <c r="U21" s="90"/>
      <c r="V21" s="90"/>
    </row>
    <row r="22" spans="1:22" ht="13.5">
      <c r="A22" s="81"/>
      <c r="B22" s="94" t="s">
        <v>34</v>
      </c>
      <c r="C22" s="83"/>
      <c r="D22" s="84"/>
      <c r="E22" s="95">
        <f>'[11]перетоки ээ(1полуг)'!$F$37/1000</f>
        <v>0.7377400000000001</v>
      </c>
      <c r="F22" s="100"/>
      <c r="G22" s="95"/>
      <c r="H22" s="95">
        <v>0.115101666666667</v>
      </c>
      <c r="I22" s="100"/>
      <c r="J22" s="101"/>
      <c r="K22" s="95">
        <v>0.575508333333333</v>
      </c>
      <c r="L22" s="96"/>
      <c r="M22" s="96">
        <f>M17</f>
        <v>2024.737638446231</v>
      </c>
      <c r="N22" s="96">
        <f>N17</f>
        <v>2006.2654436274013</v>
      </c>
      <c r="O22" s="96">
        <f>O17</f>
        <v>1825.8947350762724</v>
      </c>
      <c r="P22" s="97">
        <f>Q22+S22+R22</f>
        <v>2775.4720775504293</v>
      </c>
      <c r="Q22" s="96">
        <f>E22*M22</f>
        <v>1493.7299453873225</v>
      </c>
      <c r="R22" s="96">
        <f>H22*N22</f>
        <v>230.92449633725394</v>
      </c>
      <c r="S22" s="98">
        <f>K22*O22</f>
        <v>1050.8176358258531</v>
      </c>
      <c r="T22" s="99"/>
      <c r="U22" s="90"/>
      <c r="V22" s="90"/>
    </row>
    <row r="23" spans="1:22" ht="14.25" customHeight="1">
      <c r="A23" s="81"/>
      <c r="B23" s="94" t="s">
        <v>56</v>
      </c>
      <c r="C23" s="83"/>
      <c r="D23" s="84"/>
      <c r="E23" s="95">
        <f>'[11]перетоки ээ(1полуг)'!$F$39/1000</f>
        <v>7.03976</v>
      </c>
      <c r="F23" s="100"/>
      <c r="G23" s="95"/>
      <c r="H23" s="95">
        <v>1.08124833333333</v>
      </c>
      <c r="I23" s="100"/>
      <c r="J23" s="101"/>
      <c r="K23" s="95">
        <v>5.40624166666667</v>
      </c>
      <c r="L23" s="96"/>
      <c r="M23" s="96">
        <f>'[1]Расчет тарифа на потери'!B20</f>
        <v>1595.737638446231</v>
      </c>
      <c r="N23" s="96">
        <f>'[1]Расчет тарифа на потери'!C20</f>
        <v>1186.9354436274014</v>
      </c>
      <c r="O23" s="96">
        <f>'[1]Расчет тарифа на потери'!D20</f>
        <v>1332.3147350762724</v>
      </c>
      <c r="P23" s="97">
        <f>Q23+S23+R23</f>
        <v>19719.797401707932</v>
      </c>
      <c r="Q23" s="97">
        <f>E23*M23</f>
        <v>11233.609997628238</v>
      </c>
      <c r="R23" s="96">
        <f>H23*N23</f>
        <v>1283.3719701963844</v>
      </c>
      <c r="S23" s="106">
        <f>K23*O23</f>
        <v>7202.81543388331</v>
      </c>
      <c r="U23" s="90"/>
      <c r="V23" s="90"/>
    </row>
    <row r="24" spans="1:22" ht="38.25">
      <c r="A24" s="81" t="s">
        <v>57</v>
      </c>
      <c r="B24" s="82" t="s">
        <v>58</v>
      </c>
      <c r="C24" s="83">
        <f>'[12]20.12.2016'!$F$44/1000*0.89</f>
        <v>9.736689000000002</v>
      </c>
      <c r="D24" s="84">
        <f>'[11]перетоки ээ(1полуг)'!$J$67/1000</f>
        <v>13.17941680384097</v>
      </c>
      <c r="E24" s="85">
        <f>'[11]перетоки ээ(1полуг)'!$J$36/1000</f>
        <v>1.5379671961590302</v>
      </c>
      <c r="F24" s="83">
        <f>'[12]20.12.2016'!$F$44/1000*0.89</f>
        <v>9.736689000000002</v>
      </c>
      <c r="G24" s="85">
        <v>1.71901666666667</v>
      </c>
      <c r="H24" s="85">
        <v>0.2006</v>
      </c>
      <c r="I24" s="83">
        <f>C24</f>
        <v>9.736689000000002</v>
      </c>
      <c r="J24" s="84">
        <v>8.59508333333334</v>
      </c>
      <c r="K24" s="85">
        <v>1.003</v>
      </c>
      <c r="L24" s="86">
        <v>54241.46</v>
      </c>
      <c r="M24" s="86">
        <f>(M26*E26+M27*E27+M28*E28)/E24</f>
        <v>1945.2809157838806</v>
      </c>
      <c r="N24" s="86">
        <f>(N26*H26+N27*H27+N28*H28)/H24</f>
        <v>1829.4131573625277</v>
      </c>
      <c r="O24" s="86">
        <f>(O26*K26+O27*K27+O28*K28)/K24</f>
        <v>1730.5522786920517</v>
      </c>
      <c r="P24" s="87">
        <f>Q24+S24+R24</f>
        <v>5094.502450684856</v>
      </c>
      <c r="Q24" s="86">
        <f>Q26+Q27+Q28</f>
        <v>2991.7782357898054</v>
      </c>
      <c r="R24" s="86">
        <f>R26+R27+R28</f>
        <v>366.98027936692307</v>
      </c>
      <c r="S24" s="88">
        <f>S26+S27+S28</f>
        <v>1735.7439355281276</v>
      </c>
      <c r="U24" s="90"/>
      <c r="V24" s="90"/>
    </row>
    <row r="25" spans="1:22" ht="13.5">
      <c r="A25" s="81"/>
      <c r="B25" s="94" t="s">
        <v>27</v>
      </c>
      <c r="C25" s="83"/>
      <c r="D25" s="84"/>
      <c r="E25" s="85"/>
      <c r="F25" s="83"/>
      <c r="G25" s="85"/>
      <c r="H25" s="85"/>
      <c r="I25" s="83"/>
      <c r="J25" s="84"/>
      <c r="K25" s="95"/>
      <c r="L25" s="96"/>
      <c r="M25" s="96"/>
      <c r="N25" s="96"/>
      <c r="O25" s="96"/>
      <c r="P25" s="97"/>
      <c r="Q25" s="97"/>
      <c r="R25" s="97"/>
      <c r="S25" s="106"/>
      <c r="T25" s="99"/>
      <c r="U25" s="90"/>
      <c r="V25" s="90"/>
    </row>
    <row r="26" spans="1:22" ht="13.5">
      <c r="A26" s="81"/>
      <c r="B26" s="94" t="s">
        <v>34</v>
      </c>
      <c r="C26" s="83"/>
      <c r="D26" s="84"/>
      <c r="E26" s="95">
        <f>'[11]перетоки ээ(1полуг)'!$J$37/1000</f>
        <v>1.05543761415903</v>
      </c>
      <c r="F26" s="100"/>
      <c r="G26" s="95"/>
      <c r="H26" s="95">
        <v>0.15730051307198065</v>
      </c>
      <c r="I26" s="100"/>
      <c r="J26" s="101"/>
      <c r="K26" s="95">
        <f>0.729274631619362+0.159961439166667/2</f>
        <v>0.8092553512026955</v>
      </c>
      <c r="L26" s="96"/>
      <c r="M26" s="96">
        <f>M12</f>
        <v>2024.737638446231</v>
      </c>
      <c r="N26" s="96">
        <f>N22</f>
        <v>2006.2654436274013</v>
      </c>
      <c r="O26" s="96">
        <f>O12</f>
        <v>1825.8947350762724</v>
      </c>
      <c r="P26" s="97">
        <f>Q26+S26+R26</f>
        <v>3930.185931154155</v>
      </c>
      <c r="Q26" s="97">
        <f>E26*M26</f>
        <v>2136.9842624196785</v>
      </c>
      <c r="R26" s="97">
        <f>H26*N26</f>
        <v>315.5865836411751</v>
      </c>
      <c r="S26" s="106">
        <f>K26*O26</f>
        <v>1477.6150850933016</v>
      </c>
      <c r="U26" s="90"/>
      <c r="V26" s="90"/>
    </row>
    <row r="27" spans="1:22" ht="13.5">
      <c r="A27" s="81"/>
      <c r="B27" s="94" t="s">
        <v>35</v>
      </c>
      <c r="C27" s="83"/>
      <c r="D27" s="84"/>
      <c r="E27" s="95">
        <f>'[11]перетоки ээ(1полуг)'!$J$38/1000</f>
        <v>0.265200309</v>
      </c>
      <c r="F27" s="100"/>
      <c r="G27" s="95"/>
      <c r="H27" s="95">
        <v>0.04329948692801975</v>
      </c>
      <c r="I27" s="100"/>
      <c r="J27" s="101"/>
      <c r="K27" s="95">
        <f>0.113763929213971+0.159961439166667/2</f>
        <v>0.1937446487973045</v>
      </c>
      <c r="L27" s="96"/>
      <c r="M27" s="96">
        <f>M13</f>
        <v>1546.737638446231</v>
      </c>
      <c r="N27" s="96">
        <f>N18</f>
        <v>1186.9354436274014</v>
      </c>
      <c r="O27" s="96">
        <f>O13</f>
        <v>1332.3147350762724</v>
      </c>
      <c r="P27" s="97">
        <f>Q27+S27+R27</f>
        <v>719.717845818445</v>
      </c>
      <c r="Q27" s="97">
        <f>E27*M27</f>
        <v>410.19529965787075</v>
      </c>
      <c r="R27" s="97">
        <f>H27*N27</f>
        <v>51.39369572574799</v>
      </c>
      <c r="S27" s="106">
        <f>K27*O27</f>
        <v>258.1288504348262</v>
      </c>
      <c r="U27" s="90"/>
      <c r="V27" s="90"/>
    </row>
    <row r="28" spans="1:19" ht="13.5">
      <c r="A28" s="81"/>
      <c r="B28" s="94" t="s">
        <v>59</v>
      </c>
      <c r="C28" s="107"/>
      <c r="D28" s="84"/>
      <c r="E28" s="101">
        <f>'[11]перетоки ээ(1полуг)'!$J$42/1000</f>
        <v>0.217329273</v>
      </c>
      <c r="F28" s="101"/>
      <c r="G28" s="101"/>
      <c r="H28" s="101"/>
      <c r="I28" s="101"/>
      <c r="J28" s="101"/>
      <c r="K28" s="101"/>
      <c r="L28" s="97"/>
      <c r="M28" s="96">
        <f>'[1]Расчет тарифа на потери'!B39</f>
        <v>2045.737638446231</v>
      </c>
      <c r="N28" s="96"/>
      <c r="O28" s="96"/>
      <c r="P28" s="97">
        <f>Q28+S28+R28</f>
        <v>444.5986737122562</v>
      </c>
      <c r="Q28" s="97">
        <f>E28*M28</f>
        <v>444.5986737122562</v>
      </c>
      <c r="R28" s="97"/>
      <c r="S28" s="106"/>
    </row>
    <row r="29" spans="1:19" s="109" customFormat="1" ht="38.25">
      <c r="A29" s="81" t="s">
        <v>60</v>
      </c>
      <c r="B29" s="108" t="s">
        <v>61</v>
      </c>
      <c r="C29" s="83">
        <f>21.921*0.89</f>
        <v>19.50969</v>
      </c>
      <c r="D29" s="84">
        <f>0.974947+0.738345+0.752473+0.620687+0.419334+0.387579</f>
        <v>3.8933650000000006</v>
      </c>
      <c r="E29" s="84">
        <v>0</v>
      </c>
      <c r="F29" s="83">
        <f>21.921*0.89</f>
        <v>19.50969</v>
      </c>
      <c r="G29" s="84">
        <v>0.583418</v>
      </c>
      <c r="H29" s="84">
        <v>0</v>
      </c>
      <c r="I29" s="84">
        <f>C29</f>
        <v>19.50969</v>
      </c>
      <c r="J29" s="84">
        <v>2.91709</v>
      </c>
      <c r="K29" s="84">
        <v>0</v>
      </c>
      <c r="L29" s="86">
        <v>31886.47</v>
      </c>
      <c r="M29" s="86">
        <v>0</v>
      </c>
      <c r="N29" s="86">
        <v>0</v>
      </c>
      <c r="O29" s="86">
        <v>0</v>
      </c>
      <c r="P29" s="87">
        <f>Q29+S29+R29</f>
        <v>0</v>
      </c>
      <c r="Q29" s="87">
        <v>0</v>
      </c>
      <c r="R29" s="87">
        <f>H29*N29</f>
        <v>0</v>
      </c>
      <c r="S29" s="105">
        <v>0</v>
      </c>
    </row>
    <row r="30" spans="1:22" s="72" customFormat="1" ht="25.5">
      <c r="A30" s="110" t="s">
        <v>62</v>
      </c>
      <c r="B30" s="108" t="s">
        <v>63</v>
      </c>
      <c r="C30" s="83">
        <f>'[12]20.12.2016'!$F$20/1000*0.89</f>
        <v>356</v>
      </c>
      <c r="D30" s="84">
        <f>'[11]перетоки ээ(1полуг)'!$D$67/1000</f>
        <v>11.003191004144456</v>
      </c>
      <c r="E30" s="85">
        <f>'[11]перетоки ээ(1полуг)'!$D$36/1000</f>
        <v>2.541</v>
      </c>
      <c r="F30" s="83">
        <f>'[12]20.12.2016'!$F$20/1000*0.89</f>
        <v>356</v>
      </c>
      <c r="G30" s="85">
        <v>1.79240727482217</v>
      </c>
      <c r="H30" s="85">
        <v>0.398466666666667</v>
      </c>
      <c r="I30" s="83">
        <f>C30</f>
        <v>356</v>
      </c>
      <c r="J30" s="84">
        <v>8.96203637411084</v>
      </c>
      <c r="K30" s="85">
        <v>1.99233333333333</v>
      </c>
      <c r="L30" s="86">
        <v>31753.13</v>
      </c>
      <c r="M30" s="86">
        <f>M32</f>
        <v>1545.737638446231</v>
      </c>
      <c r="N30" s="86">
        <f>N32</f>
        <v>1176.9354436274014</v>
      </c>
      <c r="O30" s="86">
        <f>O32</f>
        <v>1322.3147350762724</v>
      </c>
      <c r="P30" s="86">
        <f>Q30+S30+R30</f>
        <v>7031.180606246227</v>
      </c>
      <c r="Q30" s="86">
        <f>E30*M30</f>
        <v>3927.7193392918725</v>
      </c>
      <c r="R30" s="86">
        <f>R32</f>
        <v>468.9695431040656</v>
      </c>
      <c r="S30" s="88">
        <f>K30*O30</f>
        <v>2634.491723850289</v>
      </c>
      <c r="U30" s="90"/>
      <c r="V30" s="90"/>
    </row>
    <row r="31" spans="1:22" s="72" customFormat="1" ht="13.5">
      <c r="A31" s="110"/>
      <c r="B31" s="111" t="s">
        <v>27</v>
      </c>
      <c r="C31" s="83"/>
      <c r="D31" s="84"/>
      <c r="E31" s="85"/>
      <c r="F31" s="83"/>
      <c r="G31" s="85"/>
      <c r="H31" s="85"/>
      <c r="I31" s="83"/>
      <c r="J31" s="84"/>
      <c r="K31" s="95"/>
      <c r="L31" s="96"/>
      <c r="M31" s="96"/>
      <c r="N31" s="96"/>
      <c r="O31" s="96"/>
      <c r="P31" s="96"/>
      <c r="Q31" s="96"/>
      <c r="R31" s="96"/>
      <c r="S31" s="98"/>
      <c r="T31" s="99"/>
      <c r="U31" s="90"/>
      <c r="V31" s="90"/>
    </row>
    <row r="32" spans="1:22" s="72" customFormat="1" ht="13.5">
      <c r="A32" s="110"/>
      <c r="B32" s="111" t="s">
        <v>64</v>
      </c>
      <c r="C32" s="83"/>
      <c r="D32" s="84"/>
      <c r="E32" s="95">
        <f>'[11]перетоки ээ(1полуг)'!$D$43/1000</f>
        <v>2.541</v>
      </c>
      <c r="F32" s="100"/>
      <c r="G32" s="95"/>
      <c r="H32" s="95">
        <f>H30</f>
        <v>0.398466666666667</v>
      </c>
      <c r="I32" s="100"/>
      <c r="J32" s="101"/>
      <c r="K32" s="95">
        <f>K30</f>
        <v>1.99233333333333</v>
      </c>
      <c r="L32" s="96"/>
      <c r="M32" s="96">
        <f>'[1]Расчет тарифа на потери'!B49</f>
        <v>1545.737638446231</v>
      </c>
      <c r="N32" s="96">
        <f>'[1]Расчет тарифа на потери'!C49</f>
        <v>1176.9354436274014</v>
      </c>
      <c r="O32" s="96">
        <f>'[1]Расчет тарифа на потери'!D49</f>
        <v>1322.3147350762724</v>
      </c>
      <c r="P32" s="96">
        <f>Q32+S32+R32</f>
        <v>7031.180606246227</v>
      </c>
      <c r="Q32" s="96">
        <f>E32*M32</f>
        <v>3927.7193392918725</v>
      </c>
      <c r="R32" s="96">
        <f>H32*N32</f>
        <v>468.9695431040656</v>
      </c>
      <c r="S32" s="98">
        <f>K32*O32</f>
        <v>2634.491723850289</v>
      </c>
      <c r="U32" s="90"/>
      <c r="V32" s="90"/>
    </row>
    <row r="33" spans="1:22" ht="25.5">
      <c r="A33" s="81" t="s">
        <v>65</v>
      </c>
      <c r="B33" s="82" t="s">
        <v>66</v>
      </c>
      <c r="C33" s="83">
        <f>'[12]20.12.2016'!$F$97/1000*0.89</f>
        <v>21.5825</v>
      </c>
      <c r="D33" s="84">
        <f>'[11]перетоки ээ(1полуг)'!$O$67/1000</f>
        <v>8.09510218280076</v>
      </c>
      <c r="E33" s="85">
        <f>'[11]перетоки ээ(1полуг)'!$O$36/1000</f>
        <v>0.6914029598366133</v>
      </c>
      <c r="F33" s="83">
        <f>'[12]20.12.2016'!$F$97/1000*0.89</f>
        <v>21.5825</v>
      </c>
      <c r="G33" s="85">
        <v>1.11372452038963</v>
      </c>
      <c r="H33" s="85">
        <v>0.0949711103773952</v>
      </c>
      <c r="I33" s="83">
        <f>C33</f>
        <v>21.5825</v>
      </c>
      <c r="J33" s="84">
        <v>5.56862260194813</v>
      </c>
      <c r="K33" s="85">
        <v>0.474855551886974</v>
      </c>
      <c r="L33" s="86">
        <v>7169.97</v>
      </c>
      <c r="M33" s="86">
        <f>(M35*E35+M36*E36)/E33</f>
        <v>1850.927991862243</v>
      </c>
      <c r="N33" s="86">
        <f>(N35*H35+N36*H36)/H33</f>
        <v>1786.080485489137</v>
      </c>
      <c r="O33" s="86">
        <f>(O35*K35+O36*K36)/K33</f>
        <v>1693.2511218338886</v>
      </c>
      <c r="P33" s="87">
        <f>Q33+S33+R33</f>
        <v>2253.4128348899635</v>
      </c>
      <c r="Q33" s="87">
        <f>Q35+Q36</f>
        <v>1279.7370920179937</v>
      </c>
      <c r="R33" s="87">
        <f>R35+R36</f>
        <v>169.62604693030042</v>
      </c>
      <c r="S33" s="105">
        <f>S35+S36</f>
        <v>804.049695941669</v>
      </c>
      <c r="U33" s="90"/>
      <c r="V33" s="90"/>
    </row>
    <row r="34" spans="1:22" ht="13.5">
      <c r="A34" s="81"/>
      <c r="B34" s="94" t="s">
        <v>27</v>
      </c>
      <c r="C34" s="83"/>
      <c r="D34" s="84"/>
      <c r="E34" s="85"/>
      <c r="F34" s="83"/>
      <c r="G34" s="85"/>
      <c r="H34" s="85"/>
      <c r="I34" s="83"/>
      <c r="J34" s="84"/>
      <c r="K34" s="95"/>
      <c r="L34" s="96"/>
      <c r="M34" s="96"/>
      <c r="N34" s="96"/>
      <c r="O34" s="96"/>
      <c r="P34" s="97"/>
      <c r="Q34" s="97"/>
      <c r="R34" s="97"/>
      <c r="S34" s="106"/>
      <c r="T34" s="99"/>
      <c r="U34" s="90"/>
      <c r="V34" s="90"/>
    </row>
    <row r="35" spans="1:22" ht="13.5">
      <c r="A35" s="81"/>
      <c r="B35" s="94" t="s">
        <v>34</v>
      </c>
      <c r="C35" s="83"/>
      <c r="D35" s="84"/>
      <c r="E35" s="95">
        <f>'[11]перетоки ээ(1полуг)'!$O$37/1000</f>
        <v>0.43999604750120525</v>
      </c>
      <c r="F35" s="101"/>
      <c r="G35" s="95"/>
      <c r="H35" s="95">
        <v>0.0694487812025923</v>
      </c>
      <c r="I35" s="101"/>
      <c r="J35" s="101"/>
      <c r="K35" s="95">
        <v>0.34724390601296</v>
      </c>
      <c r="L35" s="96"/>
      <c r="M35" s="96">
        <f>M12</f>
        <v>2024.737638446231</v>
      </c>
      <c r="N35" s="96">
        <f>N26</f>
        <v>2006.2654436274013</v>
      </c>
      <c r="O35" s="96">
        <f>O26</f>
        <v>1825.8947350762724</v>
      </c>
      <c r="P35" s="97">
        <f>Q35+S35+R35</f>
        <v>1664.2400677484509</v>
      </c>
      <c r="Q35" s="97">
        <f>E35*M35</f>
        <v>890.8765581432659</v>
      </c>
      <c r="R35" s="97">
        <f>H35*N35</f>
        <v>139.33268982880116</v>
      </c>
      <c r="S35" s="106">
        <f>K35*O35</f>
        <v>634.0308197763836</v>
      </c>
      <c r="U35" s="103"/>
      <c r="V35" s="103"/>
    </row>
    <row r="36" spans="1:19" ht="13.5">
      <c r="A36" s="81"/>
      <c r="B36" s="94" t="s">
        <v>35</v>
      </c>
      <c r="C36" s="107"/>
      <c r="D36" s="84"/>
      <c r="E36" s="101">
        <f>'[11]перетоки ээ(1полуг)'!$O$38/1000</f>
        <v>0.2514069123354081</v>
      </c>
      <c r="F36" s="101"/>
      <c r="G36" s="101"/>
      <c r="H36" s="101">
        <v>0.0255223291748029</v>
      </c>
      <c r="I36" s="101"/>
      <c r="J36" s="101"/>
      <c r="K36" s="101">
        <v>0.127611645874015</v>
      </c>
      <c r="L36" s="97"/>
      <c r="M36" s="96">
        <f>M13</f>
        <v>1546.737638446231</v>
      </c>
      <c r="N36" s="96">
        <f>N27</f>
        <v>1186.9354436274014</v>
      </c>
      <c r="O36" s="96">
        <f>O13</f>
        <v>1332.3147350762724</v>
      </c>
      <c r="P36" s="97">
        <f>Q36+S36+R36</f>
        <v>589.1727671415124</v>
      </c>
      <c r="Q36" s="97">
        <f>E36*M36</f>
        <v>388.8605338747277</v>
      </c>
      <c r="R36" s="97">
        <f>H36*N36</f>
        <v>30.29335710149925</v>
      </c>
      <c r="S36" s="106">
        <f>K36*O36</f>
        <v>170.01887616528538</v>
      </c>
    </row>
    <row r="37" spans="1:19" ht="25.5">
      <c r="A37" s="81" t="s">
        <v>67</v>
      </c>
      <c r="B37" s="82" t="s">
        <v>68</v>
      </c>
      <c r="C37" s="83">
        <f>'[14]20.12.2016'!$F$57/1000*0.89</f>
        <v>2.5454</v>
      </c>
      <c r="D37" s="84">
        <f>'[3]перетоки ээ(1полуг)'!$N$67/1000</f>
        <v>10.114949131999865</v>
      </c>
      <c r="E37" s="85">
        <f>'[3]перетоки ээ(1полуг)'!$N$36/1000</f>
        <v>0.6493</v>
      </c>
      <c r="F37" s="84">
        <f>C37</f>
        <v>2.5454</v>
      </c>
      <c r="G37" s="84">
        <v>1.66987044816667</v>
      </c>
      <c r="H37" s="84">
        <v>0.1051</v>
      </c>
      <c r="I37" s="101"/>
      <c r="J37" s="101"/>
      <c r="K37" s="101"/>
      <c r="L37" s="86">
        <v>3962.787586758</v>
      </c>
      <c r="M37" s="86">
        <f>(M39*E39+M40*E40)/E37</f>
        <v>1944.2241750935661</v>
      </c>
      <c r="N37" s="86">
        <f>(N39*H39+N40*H40)/H37</f>
        <v>1868.7514762783476</v>
      </c>
      <c r="O37" s="86"/>
      <c r="P37" s="87">
        <f>Q37+S37+R37</f>
        <v>1458.7905370451067</v>
      </c>
      <c r="Q37" s="87">
        <f>Q39+Q40</f>
        <v>1262.3847568882525</v>
      </c>
      <c r="R37" s="87">
        <f>R39+R40</f>
        <v>196.40578015685432</v>
      </c>
      <c r="S37" s="106"/>
    </row>
    <row r="38" spans="1:19" ht="13.5">
      <c r="A38" s="81"/>
      <c r="B38" s="94" t="s">
        <v>27</v>
      </c>
      <c r="C38" s="83"/>
      <c r="D38" s="84"/>
      <c r="E38" s="85"/>
      <c r="F38" s="101"/>
      <c r="G38" s="101"/>
      <c r="H38" s="84"/>
      <c r="I38" s="101"/>
      <c r="J38" s="101"/>
      <c r="K38" s="101"/>
      <c r="L38" s="97"/>
      <c r="M38" s="96"/>
      <c r="N38" s="96"/>
      <c r="O38" s="96"/>
      <c r="P38" s="97"/>
      <c r="Q38" s="97"/>
      <c r="R38" s="97"/>
      <c r="S38" s="106"/>
    </row>
    <row r="39" spans="1:19" ht="13.5">
      <c r="A39" s="81"/>
      <c r="B39" s="94" t="s">
        <v>34</v>
      </c>
      <c r="C39" s="83"/>
      <c r="D39" s="84"/>
      <c r="E39" s="95">
        <f>'[3]перетоки ээ(1полуг)'!$N$37/1000</f>
        <v>0.5399330716424999</v>
      </c>
      <c r="F39" s="101"/>
      <c r="G39" s="101"/>
      <c r="H39" s="101">
        <v>0.0874603212766705</v>
      </c>
      <c r="I39" s="101"/>
      <c r="J39" s="101"/>
      <c r="K39" s="101"/>
      <c r="L39" s="97"/>
      <c r="M39" s="96">
        <f>M35</f>
        <v>2024.737638446231</v>
      </c>
      <c r="N39" s="96">
        <f>N35</f>
        <v>2006.2654436274013</v>
      </c>
      <c r="O39" s="96"/>
      <c r="P39" s="97">
        <f>Q39+S39+R39</f>
        <v>1268.6914326623892</v>
      </c>
      <c r="Q39" s="97">
        <f>E39*M39</f>
        <v>1093.2228123964549</v>
      </c>
      <c r="R39" s="97">
        <f>H39*N39</f>
        <v>175.4686202659344</v>
      </c>
      <c r="S39" s="106"/>
    </row>
    <row r="40" spans="1:19" ht="13.5">
      <c r="A40" s="81"/>
      <c r="B40" s="94" t="s">
        <v>35</v>
      </c>
      <c r="C40" s="107"/>
      <c r="D40" s="84"/>
      <c r="E40" s="101">
        <f>'[3]перетоки ээ(1полуг)'!$N$38/1000</f>
        <v>0.10936692835750002</v>
      </c>
      <c r="F40" s="101"/>
      <c r="G40" s="101"/>
      <c r="H40" s="101">
        <v>0.0176396787233295</v>
      </c>
      <c r="I40" s="101"/>
      <c r="J40" s="101"/>
      <c r="K40" s="101"/>
      <c r="L40" s="97"/>
      <c r="M40" s="96">
        <f>M36</f>
        <v>1546.737638446231</v>
      </c>
      <c r="N40" s="96">
        <f>N36</f>
        <v>1186.9354436274014</v>
      </c>
      <c r="O40" s="96"/>
      <c r="P40" s="97">
        <f>Q40+S40+R40</f>
        <v>190.09910438271763</v>
      </c>
      <c r="Q40" s="97">
        <f>E40*M40</f>
        <v>169.1619444917977</v>
      </c>
      <c r="R40" s="97">
        <f>H40*N40</f>
        <v>20.937159890919933</v>
      </c>
      <c r="S40" s="106"/>
    </row>
    <row r="41" spans="1:19" ht="38.25">
      <c r="A41" s="81" t="s">
        <v>69</v>
      </c>
      <c r="B41" s="82" t="s">
        <v>70</v>
      </c>
      <c r="C41" s="83">
        <f>'[14]20.12.2016'!$F$60/1000*0.89</f>
        <v>14.391300000000001</v>
      </c>
      <c r="D41" s="84">
        <f>'[3]перетоки ээ(1полуг)'!$L$67/1000</f>
        <v>1.3158100000000001</v>
      </c>
      <c r="E41" s="85">
        <f>'[3]перетоки ээ(1полуг)'!$L$36/1000</f>
        <v>0.0626</v>
      </c>
      <c r="F41" s="84">
        <f>C41</f>
        <v>14.391300000000001</v>
      </c>
      <c r="G41" s="84">
        <v>0.204610683333333</v>
      </c>
      <c r="H41" s="84">
        <v>0.00898333333333333</v>
      </c>
      <c r="I41" s="101"/>
      <c r="J41" s="101"/>
      <c r="K41" s="101"/>
      <c r="L41" s="86">
        <v>2645.2586647410003</v>
      </c>
      <c r="M41" s="86">
        <f>M43</f>
        <v>2024.737638446231</v>
      </c>
      <c r="N41" s="86">
        <f>N43</f>
        <v>2006.2654436274013</v>
      </c>
      <c r="O41" s="96"/>
      <c r="P41" s="87">
        <f>Q41+S41+R41</f>
        <v>144.77152740198687</v>
      </c>
      <c r="Q41" s="87">
        <f>Q43</f>
        <v>126.74857616673405</v>
      </c>
      <c r="R41" s="87">
        <f>R43</f>
        <v>18.022951235252812</v>
      </c>
      <c r="S41" s="106"/>
    </row>
    <row r="42" spans="1:19" ht="13.5">
      <c r="A42" s="81"/>
      <c r="B42" s="94" t="s">
        <v>27</v>
      </c>
      <c r="C42" s="83"/>
      <c r="D42" s="84"/>
      <c r="E42" s="85"/>
      <c r="F42" s="101"/>
      <c r="G42" s="101"/>
      <c r="H42" s="101"/>
      <c r="I42" s="101"/>
      <c r="J42" s="101"/>
      <c r="K42" s="101"/>
      <c r="L42" s="97"/>
      <c r="M42" s="96"/>
      <c r="N42" s="96"/>
      <c r="O42" s="96"/>
      <c r="P42" s="97"/>
      <c r="Q42" s="97"/>
      <c r="R42" s="97"/>
      <c r="S42" s="106"/>
    </row>
    <row r="43" spans="1:19" ht="13.5">
      <c r="A43" s="81"/>
      <c r="B43" s="94" t="s">
        <v>34</v>
      </c>
      <c r="C43" s="83"/>
      <c r="D43" s="84"/>
      <c r="E43" s="95">
        <f>E41</f>
        <v>0.0626</v>
      </c>
      <c r="F43" s="101"/>
      <c r="G43" s="101"/>
      <c r="H43" s="101">
        <f>H41</f>
        <v>0.00898333333333333</v>
      </c>
      <c r="I43" s="101"/>
      <c r="J43" s="101"/>
      <c r="K43" s="101"/>
      <c r="L43" s="97"/>
      <c r="M43" s="96">
        <f>M39</f>
        <v>2024.737638446231</v>
      </c>
      <c r="N43" s="96">
        <f>N39</f>
        <v>2006.2654436274013</v>
      </c>
      <c r="O43" s="96"/>
      <c r="P43" s="97">
        <f>Q43+S43+R43</f>
        <v>144.77152740198687</v>
      </c>
      <c r="Q43" s="97">
        <f>E43*M43</f>
        <v>126.74857616673405</v>
      </c>
      <c r="R43" s="97">
        <f>H43*N43</f>
        <v>18.022951235252812</v>
      </c>
      <c r="S43" s="106"/>
    </row>
    <row r="44" spans="1:22" ht="38.25">
      <c r="A44" s="81" t="s">
        <v>71</v>
      </c>
      <c r="B44" s="108" t="s">
        <v>72</v>
      </c>
      <c r="C44" s="83">
        <f>'[12]20.12.2016'!$F$51/1000*0.89</f>
        <v>18.69</v>
      </c>
      <c r="D44" s="84">
        <f>'[11]перетоки ээ(1полуг)'!$H$67/1000</f>
        <v>2.0212462572380137</v>
      </c>
      <c r="E44" s="84">
        <f>'[11]перетоки ээ(1полуг)'!$H$36/1000</f>
        <v>0.0315</v>
      </c>
      <c r="F44" s="83">
        <f>'[12]20.12.2016'!$F$51/1000*0.89</f>
        <v>18.69</v>
      </c>
      <c r="G44" s="84">
        <v>0.35187444910682</v>
      </c>
      <c r="H44" s="84">
        <f>H46</f>
        <v>0.00525</v>
      </c>
      <c r="I44" s="83">
        <f>C44</f>
        <v>18.69</v>
      </c>
      <c r="J44" s="84">
        <v>1.7593722455341</v>
      </c>
      <c r="K44" s="84">
        <v>0.0263</v>
      </c>
      <c r="L44" s="86">
        <v>142.37</v>
      </c>
      <c r="M44" s="86">
        <f>M46</f>
        <v>1545.737638446231</v>
      </c>
      <c r="N44" s="86">
        <f>N46</f>
        <v>1176.9354436274014</v>
      </c>
      <c r="O44" s="86">
        <f>O46</f>
        <v>1322.3147350762724</v>
      </c>
      <c r="P44" s="86">
        <f>Q44+S44+R44</f>
        <v>89.64652422260609</v>
      </c>
      <c r="Q44" s="86">
        <f>E44*M44</f>
        <v>48.690735611056276</v>
      </c>
      <c r="R44" s="86">
        <f>R46</f>
        <v>6.178911079043857</v>
      </c>
      <c r="S44" s="88">
        <f>K44*O44</f>
        <v>34.776877532505964</v>
      </c>
      <c r="U44" s="90"/>
      <c r="V44" s="90"/>
    </row>
    <row r="45" spans="1:22" ht="13.5">
      <c r="A45" s="81"/>
      <c r="B45" s="94" t="s">
        <v>27</v>
      </c>
      <c r="C45" s="83"/>
      <c r="D45" s="84"/>
      <c r="E45" s="95"/>
      <c r="F45" s="100"/>
      <c r="G45" s="95"/>
      <c r="H45" s="95"/>
      <c r="I45" s="100"/>
      <c r="J45" s="101"/>
      <c r="K45" s="95"/>
      <c r="L45" s="96"/>
      <c r="M45" s="96"/>
      <c r="N45" s="96"/>
      <c r="O45" s="96"/>
      <c r="P45" s="97"/>
      <c r="Q45" s="97"/>
      <c r="R45" s="97"/>
      <c r="S45" s="106"/>
      <c r="U45" s="90"/>
      <c r="V45" s="90"/>
    </row>
    <row r="46" spans="1:22" ht="27">
      <c r="A46" s="81"/>
      <c r="B46" s="94" t="s">
        <v>73</v>
      </c>
      <c r="C46" s="83"/>
      <c r="D46" s="84"/>
      <c r="E46" s="95">
        <f>E44</f>
        <v>0.0315</v>
      </c>
      <c r="F46" s="100"/>
      <c r="G46" s="95"/>
      <c r="H46" s="95">
        <v>0.00525</v>
      </c>
      <c r="I46" s="100"/>
      <c r="J46" s="101"/>
      <c r="K46" s="95">
        <f>K44</f>
        <v>0.0263</v>
      </c>
      <c r="L46" s="86"/>
      <c r="M46" s="96">
        <f>'[1]Расчет тарифа на потери'!B54</f>
        <v>1545.737638446231</v>
      </c>
      <c r="N46" s="96">
        <f>'[1]Расчет тарифа на потери'!C54</f>
        <v>1176.9354436274014</v>
      </c>
      <c r="O46" s="96">
        <f>'[1]Расчет тарифа на потери'!D54</f>
        <v>1322.3147350762724</v>
      </c>
      <c r="P46" s="97">
        <f>Q46+S46+R46</f>
        <v>89.64652422260609</v>
      </c>
      <c r="Q46" s="97">
        <f>E46*M46</f>
        <v>48.690735611056276</v>
      </c>
      <c r="R46" s="97">
        <f>H46*N46</f>
        <v>6.178911079043857</v>
      </c>
      <c r="S46" s="106">
        <f>K46*O46</f>
        <v>34.776877532505964</v>
      </c>
      <c r="U46" s="90"/>
      <c r="V46" s="90"/>
    </row>
    <row r="47" spans="1:22" ht="26.25" customHeight="1">
      <c r="A47" s="81" t="s">
        <v>74</v>
      </c>
      <c r="B47" s="82" t="s">
        <v>75</v>
      </c>
      <c r="C47" s="83">
        <v>27.396</v>
      </c>
      <c r="D47" s="84">
        <f>'[3]перетоки ээ(1полуг)'!$M$67/1000</f>
        <v>1.894846</v>
      </c>
      <c r="E47" s="84">
        <f>'[3]перетоки ээ(1полуг)'!$M$36/1000</f>
        <v>0.043229795618825846</v>
      </c>
      <c r="F47" s="83">
        <f>C47</f>
        <v>27.396</v>
      </c>
      <c r="G47" s="85">
        <v>0.287071397741103</v>
      </c>
      <c r="H47" s="85">
        <v>0.00654849725889733</v>
      </c>
      <c r="I47" s="112"/>
      <c r="J47" s="112"/>
      <c r="K47" s="112"/>
      <c r="L47" s="86">
        <v>1.9196377200000003</v>
      </c>
      <c r="M47" s="86">
        <f>M49</f>
        <v>2024.737638446231</v>
      </c>
      <c r="N47" s="86">
        <f>N49</f>
        <v>2006.2654436274013</v>
      </c>
      <c r="O47" s="113"/>
      <c r="P47" s="86">
        <f>Q47+S47+R47</f>
        <v>100.66701804998914</v>
      </c>
      <c r="Q47" s="114">
        <f>Q49</f>
        <v>87.52899429177467</v>
      </c>
      <c r="R47" s="114">
        <f>R49</f>
        <v>13.138023758214473</v>
      </c>
      <c r="S47" s="157"/>
      <c r="U47" s="103"/>
      <c r="V47" s="103"/>
    </row>
    <row r="48" spans="1:22" ht="13.5">
      <c r="A48" s="81"/>
      <c r="B48" s="94" t="s">
        <v>27</v>
      </c>
      <c r="C48" s="107"/>
      <c r="D48" s="84"/>
      <c r="E48" s="84"/>
      <c r="F48" s="112"/>
      <c r="G48" s="95"/>
      <c r="H48" s="156"/>
      <c r="I48" s="112"/>
      <c r="J48" s="112"/>
      <c r="K48" s="112"/>
      <c r="L48" s="113"/>
      <c r="M48" s="113"/>
      <c r="N48" s="112"/>
      <c r="O48" s="113"/>
      <c r="P48" s="113"/>
      <c r="Q48" s="113"/>
      <c r="R48" s="113"/>
      <c r="S48" s="158"/>
      <c r="T48" s="99"/>
      <c r="U48" s="103"/>
      <c r="V48" s="103"/>
    </row>
    <row r="49" spans="1:22" ht="13.5">
      <c r="A49" s="81"/>
      <c r="B49" s="94" t="s">
        <v>34</v>
      </c>
      <c r="C49" s="107"/>
      <c r="D49" s="84"/>
      <c r="E49" s="101">
        <f>E47</f>
        <v>0.043229795618825846</v>
      </c>
      <c r="F49" s="101"/>
      <c r="G49" s="95"/>
      <c r="H49" s="95">
        <f>H47</f>
        <v>0.00654849725889733</v>
      </c>
      <c r="I49" s="101"/>
      <c r="J49" s="101"/>
      <c r="K49" s="101"/>
      <c r="L49" s="115"/>
      <c r="M49" s="97">
        <f>M43</f>
        <v>2024.737638446231</v>
      </c>
      <c r="N49" s="96">
        <f>N43</f>
        <v>2006.2654436274013</v>
      </c>
      <c r="O49" s="115"/>
      <c r="P49" s="97">
        <f>Q49+S49+R49</f>
        <v>100.66701804998914</v>
      </c>
      <c r="Q49" s="115">
        <f>E49*M49</f>
        <v>87.52899429177467</v>
      </c>
      <c r="R49" s="115">
        <f>H49*N49</f>
        <v>13.138023758214473</v>
      </c>
      <c r="S49" s="159"/>
      <c r="U49" s="103"/>
      <c r="V49" s="103"/>
    </row>
    <row r="50" spans="1:19" ht="38.25">
      <c r="A50" s="81" t="s">
        <v>76</v>
      </c>
      <c r="B50" s="82" t="s">
        <v>77</v>
      </c>
      <c r="C50" s="83">
        <v>0.216</v>
      </c>
      <c r="D50" s="84">
        <f>'[3]перетоки ээ(1полуг)'!$I$67/1000</f>
        <v>5.551442999999999</v>
      </c>
      <c r="E50" s="84">
        <f>'[3]перетоки ээ(1полуг)'!$I$36/1000</f>
        <v>0.38656430481321785</v>
      </c>
      <c r="F50" s="83">
        <f>C50</f>
        <v>0.216</v>
      </c>
      <c r="G50" s="85">
        <v>0.968156685008491</v>
      </c>
      <c r="H50" s="85">
        <v>0.0674157174372011</v>
      </c>
      <c r="I50" s="116"/>
      <c r="J50" s="117"/>
      <c r="K50" s="117"/>
      <c r="L50" s="86">
        <v>0.01749384</v>
      </c>
      <c r="M50" s="86">
        <f>(M52*E52+M53*E53)/E50</f>
        <v>1601.4589736715982</v>
      </c>
      <c r="N50" s="86">
        <f>(N52*H52+N53*H53)/H50</f>
        <v>1278.3648619385663</v>
      </c>
      <c r="O50" s="118"/>
      <c r="P50" s="86">
        <f>Q50+S50+R50</f>
        <v>705.2487591583476</v>
      </c>
      <c r="Q50" s="119">
        <f>Q52+Q53</f>
        <v>619.0668748442507</v>
      </c>
      <c r="R50" s="119">
        <f>R52+R53</f>
        <v>86.18188431409698</v>
      </c>
      <c r="S50" s="160"/>
    </row>
    <row r="51" spans="1:19" ht="13.5">
      <c r="A51" s="81"/>
      <c r="B51" s="94" t="s">
        <v>27</v>
      </c>
      <c r="C51" s="107"/>
      <c r="D51" s="84"/>
      <c r="E51" s="84"/>
      <c r="F51" s="120"/>
      <c r="G51" s="95"/>
      <c r="H51" s="95"/>
      <c r="I51" s="120"/>
      <c r="J51" s="121"/>
      <c r="K51" s="120"/>
      <c r="L51" s="122"/>
      <c r="M51" s="118"/>
      <c r="N51" s="121"/>
      <c r="O51" s="122"/>
      <c r="P51" s="122"/>
      <c r="Q51" s="118"/>
      <c r="R51" s="118"/>
      <c r="S51" s="161"/>
    </row>
    <row r="52" spans="1:19" ht="13.5">
      <c r="A52" s="81"/>
      <c r="B52" s="94" t="s">
        <v>34</v>
      </c>
      <c r="C52" s="107"/>
      <c r="D52" s="84"/>
      <c r="E52" s="101">
        <f>'[3]перетоки ээ(1полуг)'!$I$37/1000</f>
        <v>0.04425379688252117</v>
      </c>
      <c r="F52" s="123"/>
      <c r="G52" s="95"/>
      <c r="H52" s="95">
        <v>0.00752295147292682</v>
      </c>
      <c r="I52" s="123"/>
      <c r="J52" s="124"/>
      <c r="K52" s="124"/>
      <c r="L52" s="125"/>
      <c r="M52" s="126">
        <f>M39</f>
        <v>2024.737638446231</v>
      </c>
      <c r="N52" s="126">
        <f>N43</f>
        <v>2006.2654436274013</v>
      </c>
      <c r="O52" s="118"/>
      <c r="P52" s="97">
        <f>Q52+S52+R52</f>
        <v>104.69536576641403</v>
      </c>
      <c r="Q52" s="115">
        <f>E52*M52</f>
        <v>89.60232819219509</v>
      </c>
      <c r="R52" s="115">
        <f>H52*N52</f>
        <v>15.093037574218938</v>
      </c>
      <c r="S52" s="161"/>
    </row>
    <row r="53" spans="1:19" ht="13.5">
      <c r="A53" s="81"/>
      <c r="B53" s="94" t="s">
        <v>35</v>
      </c>
      <c r="C53" s="107"/>
      <c r="D53" s="84"/>
      <c r="E53" s="101">
        <f>'[3]перетоки ээ(1полуг)'!$I$38/1000</f>
        <v>0.34231050793069673</v>
      </c>
      <c r="F53" s="124"/>
      <c r="G53" s="95"/>
      <c r="H53" s="95">
        <v>0.0598927659642743</v>
      </c>
      <c r="I53" s="124"/>
      <c r="J53" s="127"/>
      <c r="K53" s="127"/>
      <c r="L53" s="125"/>
      <c r="M53" s="126">
        <f>M40</f>
        <v>1546.737638446231</v>
      </c>
      <c r="N53" s="126">
        <f>N40</f>
        <v>1186.9354436274014</v>
      </c>
      <c r="O53" s="118"/>
      <c r="P53" s="97">
        <f>Q53+S53+R53</f>
        <v>600.5533933919337</v>
      </c>
      <c r="Q53" s="115">
        <f>E53*M53</f>
        <v>529.4645466520557</v>
      </c>
      <c r="R53" s="115">
        <f>H53*N53</f>
        <v>71.08884673987804</v>
      </c>
      <c r="S53" s="161"/>
    </row>
    <row r="54" spans="1:19" ht="25.5">
      <c r="A54" s="81" t="s">
        <v>78</v>
      </c>
      <c r="B54" s="82" t="s">
        <v>79</v>
      </c>
      <c r="C54" s="83">
        <f>'[13]Лист1'!$H$15/1000*0.89</f>
        <v>35.414880000000004</v>
      </c>
      <c r="D54" s="84">
        <f>'[3]перетоки ээ(1полуг)'!$K$67/1000</f>
        <v>0.9814925</v>
      </c>
      <c r="E54" s="84">
        <f>'[3]перетоки ээ(1полуг)'!$K$36/1000</f>
        <v>0.026199999999999998</v>
      </c>
      <c r="F54" s="128">
        <f>C54</f>
        <v>35.414880000000004</v>
      </c>
      <c r="G54" s="85">
        <v>0.128617833333333</v>
      </c>
      <c r="H54" s="85">
        <v>0.00343333333333333</v>
      </c>
      <c r="I54" s="124"/>
      <c r="J54" s="127"/>
      <c r="K54" s="127"/>
      <c r="L54" s="86">
        <v>2599.9171893744006</v>
      </c>
      <c r="M54" s="87">
        <f>M56</f>
        <v>2024.737638446231</v>
      </c>
      <c r="N54" s="87">
        <f>N56</f>
        <v>2006.2654436274013</v>
      </c>
      <c r="O54" s="113"/>
      <c r="P54" s="86">
        <f>Q54+S54+R54</f>
        <v>59.936304150411985</v>
      </c>
      <c r="Q54" s="114">
        <f>Q56</f>
        <v>53.04812612729125</v>
      </c>
      <c r="R54" s="114">
        <f>R56</f>
        <v>6.888178023120737</v>
      </c>
      <c r="S54" s="157"/>
    </row>
    <row r="55" spans="1:19" ht="13.5">
      <c r="A55" s="81"/>
      <c r="B55" s="94" t="s">
        <v>27</v>
      </c>
      <c r="C55" s="107"/>
      <c r="D55" s="84"/>
      <c r="E55" s="84"/>
      <c r="F55" s="127"/>
      <c r="G55" s="95"/>
      <c r="H55" s="95"/>
      <c r="I55" s="127"/>
      <c r="J55" s="127"/>
      <c r="K55" s="127"/>
      <c r="L55" s="129"/>
      <c r="M55" s="113"/>
      <c r="N55" s="130"/>
      <c r="O55" s="129"/>
      <c r="P55" s="129"/>
      <c r="Q55" s="113"/>
      <c r="R55" s="113"/>
      <c r="S55" s="158"/>
    </row>
    <row r="56" spans="1:19" ht="14.25" thickBot="1">
      <c r="A56" s="131"/>
      <c r="B56" s="132" t="s">
        <v>34</v>
      </c>
      <c r="C56" s="133"/>
      <c r="D56" s="134"/>
      <c r="E56" s="135">
        <f>E54</f>
        <v>0.026199999999999998</v>
      </c>
      <c r="F56" s="162"/>
      <c r="G56" s="163"/>
      <c r="H56" s="163">
        <f>H54</f>
        <v>0.00343333333333333</v>
      </c>
      <c r="I56" s="162"/>
      <c r="J56" s="162"/>
      <c r="K56" s="162"/>
      <c r="L56" s="164"/>
      <c r="M56" s="165">
        <f>M52</f>
        <v>2024.737638446231</v>
      </c>
      <c r="N56" s="166">
        <f>N52</f>
        <v>2006.2654436274013</v>
      </c>
      <c r="O56" s="164"/>
      <c r="P56" s="165">
        <f>Q56+S56+R56</f>
        <v>59.936304150411985</v>
      </c>
      <c r="Q56" s="167">
        <f>E56*M56</f>
        <v>53.04812612729125</v>
      </c>
      <c r="R56" s="167">
        <f>H56*N56</f>
        <v>6.888178023120737</v>
      </c>
      <c r="S56" s="168"/>
    </row>
    <row r="57" spans="3:19" ht="12.75">
      <c r="C57" s="136" t="s">
        <v>80</v>
      </c>
      <c r="D57" s="137">
        <f>D10+D15+D20+D24+D29+D30+D37+D41+D44+D47+D50+D54+D33</f>
        <v>1289.4992515052393</v>
      </c>
      <c r="E57" s="137">
        <f>E10+E15+E20+E24+E29+E30+E37+E41+E44+E47+E50+E54+E33</f>
        <v>164.03080000000008</v>
      </c>
      <c r="F57" s="136"/>
      <c r="G57" s="137">
        <f>G10+G15+G20+G24+G29+G30+G37+G41+G44+G47+G50+G54+G33</f>
        <v>188.18371400006941</v>
      </c>
      <c r="H57" s="137">
        <f>H10+H15+H20+H24+H29+H30+H37+H41+H44+H47+H50+H54+H33</f>
        <v>24.899900000000013</v>
      </c>
      <c r="I57" s="136"/>
      <c r="J57" s="137">
        <f>J10+J15+J20+J24+J29+J30+J37+J41+J44+J47+J50+J54+J33</f>
        <v>934.1131801071626</v>
      </c>
      <c r="K57" s="137">
        <f>K10+K15+K20+K24+K29+K30+K37+K41+K44+K47+K50+K54+K33</f>
        <v>123.54214559318632</v>
      </c>
      <c r="L57" s="138">
        <f>G57+J57+D57</f>
        <v>2411.7961456124713</v>
      </c>
      <c r="O57" s="139"/>
      <c r="P57" s="139"/>
      <c r="Q57" s="138">
        <f>Q10+Q15+Q20+Q24+Q29+Q30+Q33+Q37+Q41+Q44+Q47+Q50+Q54</f>
        <v>384254.7672519545</v>
      </c>
      <c r="R57" s="138">
        <f>R10+R15+R20+R24+R29+R30+R33+R37+R41+R44+R47+R50+R54</f>
        <v>53300.723977958696</v>
      </c>
      <c r="S57" s="138">
        <f>S10+S15+S20+S24+S29+S30+S33+S37+S41+S44+S47+S50+S54</f>
        <v>296825.4759715908</v>
      </c>
    </row>
    <row r="58" spans="4:16" ht="12.75">
      <c r="D58" s="136"/>
      <c r="E58" s="136"/>
      <c r="F58" s="136"/>
      <c r="G58" s="136"/>
      <c r="H58" s="136"/>
      <c r="I58" s="136"/>
      <c r="J58" s="139"/>
      <c r="K58" s="139"/>
      <c r="L58" s="139"/>
      <c r="O58" s="139"/>
      <c r="P58" s="139"/>
    </row>
    <row r="59" spans="3:16" ht="12.75">
      <c r="C59" s="181" t="s">
        <v>81</v>
      </c>
      <c r="D59" s="181"/>
      <c r="E59" s="181"/>
      <c r="F59" s="181"/>
      <c r="G59" s="136"/>
      <c r="H59" s="136"/>
      <c r="I59" s="136"/>
      <c r="K59" s="139"/>
      <c r="L59" s="139"/>
      <c r="M59" s="71" t="s">
        <v>82</v>
      </c>
      <c r="O59" s="139"/>
      <c r="P59" s="139"/>
    </row>
    <row r="60" spans="3:16" ht="12.75" customHeight="1">
      <c r="C60" s="103" t="s">
        <v>83</v>
      </c>
      <c r="D60" s="140">
        <f>'[15]перетоки ээ(1полуг)'!$Q$67-'[15]перетоки ээ(1полуг)'!$C$67</f>
        <v>1286665.9425052404</v>
      </c>
      <c r="E60" s="182"/>
      <c r="F60" s="182"/>
      <c r="G60" s="136">
        <f>'[15]перетоки ээ июль'!$Q$67-'[15]перетоки ээ июль'!$C$67</f>
        <v>187725.7756667361</v>
      </c>
      <c r="H60" s="136"/>
      <c r="I60" s="136"/>
      <c r="J60" s="139">
        <f>'[15]перетоки ээ(2полуг) 5 мес'!$Q$67-'[15]перетоки ээ(2полуг) 5 мес'!$C$67</f>
        <v>931823.488440495</v>
      </c>
      <c r="L60" s="139">
        <f>(D60+G60+J60)/1000</f>
        <v>2406.2152066124713</v>
      </c>
      <c r="M60" s="139">
        <f>L57-L60</f>
        <v>5.580938999999944</v>
      </c>
      <c r="O60" s="139"/>
      <c r="P60" s="139"/>
    </row>
    <row r="61" spans="3:16" ht="12.75">
      <c r="C61" s="103"/>
      <c r="D61" s="140"/>
      <c r="E61" s="182"/>
      <c r="F61" s="182"/>
      <c r="G61" s="136"/>
      <c r="H61" s="136"/>
      <c r="I61" s="136"/>
      <c r="J61" s="139"/>
      <c r="K61" s="139"/>
      <c r="L61" s="139"/>
      <c r="O61" s="139"/>
      <c r="P61" s="139"/>
    </row>
    <row r="62" spans="3:20" ht="12.75">
      <c r="C62" s="72" t="s">
        <v>84</v>
      </c>
      <c r="D62" s="136"/>
      <c r="E62" s="136">
        <f>E12+E17+E22+E26+E35+E39+E43+E49+E52+E56+'[1]прил 2 прот. '!D44</f>
        <v>222.572560217833</v>
      </c>
      <c r="F62" s="136"/>
      <c r="H62" s="136">
        <f>H12+H17+H22+H26+H35+H39+H43+H49+H52+H56+'[1]прил 2 прот. '!E44</f>
        <v>35.409871686862836</v>
      </c>
      <c r="K62" s="142">
        <f>K12+K17+K22+K26+K35+K39+K43+K49+K52+K56+'[1]прил 2 прот. '!F44</f>
        <v>176.50236903678137</v>
      </c>
      <c r="O62" s="139"/>
      <c r="P62" s="139" t="s">
        <v>84</v>
      </c>
      <c r="R62" s="138">
        <f>R12+R17+R22+R26+R35+R39+R43+R49+R52+R56+'[1]прил 2 прот. '!L44</f>
        <v>71041.60192863323</v>
      </c>
      <c r="S62" s="138">
        <f>S12+S17+S22+S26+S35+S39+S43+S49+S52+S56+'[1]прил 2 прот. '!M44</f>
        <v>322274.74635274836</v>
      </c>
      <c r="T62" s="143">
        <f>R62+S62</f>
        <v>393316.3482813816</v>
      </c>
    </row>
    <row r="63" spans="3:20" ht="25.5">
      <c r="C63" s="72" t="s">
        <v>85</v>
      </c>
      <c r="D63" s="136"/>
      <c r="E63" s="136">
        <f>E13+E18+E27+E36+E40+E53+'[1]прил 2 прот. '!D45</f>
        <v>58.96165050916711</v>
      </c>
      <c r="F63" s="136"/>
      <c r="H63" s="142">
        <f>H13+H18+H27+H36+H40+H53+'[1]прил 2 прот. '!E45</f>
        <v>9.162996646470516</v>
      </c>
      <c r="K63" s="142">
        <f>K13+K18+K27+K36+K40+K53+'[1]прил 2 прот. '!F45</f>
        <v>45.40456822307176</v>
      </c>
      <c r="L63" s="139">
        <f>K63-'[1]Расчет тарифа на потери'!D36</f>
        <v>1.6263306817724228</v>
      </c>
      <c r="P63" s="71" t="s">
        <v>85</v>
      </c>
      <c r="R63" s="138">
        <f>R13+R18+R27+R36+R40+R53+'[1]прил 2 прот. '!L45</f>
        <v>10875.885489534874</v>
      </c>
      <c r="S63" s="138">
        <f>S13+S18+S27+S36+S40+S53+'[1]прил 2 прот. '!M45</f>
        <v>54128.72612873993</v>
      </c>
      <c r="T63" s="143">
        <f>R63+S63+S19</f>
        <v>123298.25056019032</v>
      </c>
    </row>
    <row r="64" spans="3:20" ht="12.75">
      <c r="C64" s="144" t="s">
        <v>86</v>
      </c>
      <c r="D64" s="144"/>
      <c r="E64" s="145">
        <f>E23</f>
        <v>7.03976</v>
      </c>
      <c r="F64" s="144"/>
      <c r="G64" s="71"/>
      <c r="H64" s="145">
        <f>H23</f>
        <v>1.08124833333333</v>
      </c>
      <c r="I64" s="70"/>
      <c r="K64" s="145">
        <f>K23</f>
        <v>5.40624166666667</v>
      </c>
      <c r="L64" s="70"/>
      <c r="P64" s="71" t="s">
        <v>86</v>
      </c>
      <c r="R64" s="139">
        <f>R23</f>
        <v>1283.3719701963844</v>
      </c>
      <c r="S64" s="139">
        <f>S23</f>
        <v>7202.81543388331</v>
      </c>
      <c r="T64" s="138">
        <f>R64+S64</f>
        <v>8486.187404079694</v>
      </c>
    </row>
    <row r="65" spans="3:20" ht="12.75">
      <c r="C65" s="103" t="s">
        <v>87</v>
      </c>
      <c r="D65" s="140"/>
      <c r="E65" s="146">
        <f>E28</f>
        <v>0.217329273</v>
      </c>
      <c r="F65" s="141"/>
      <c r="G65" s="139"/>
      <c r="H65" s="146">
        <f>H28</f>
        <v>0</v>
      </c>
      <c r="I65" s="139"/>
      <c r="K65" s="146">
        <f>K28</f>
        <v>0</v>
      </c>
      <c r="T65" s="138">
        <f>R65+S65+'[1]прил 2 прот. '!J47</f>
        <v>0</v>
      </c>
    </row>
    <row r="66" spans="3:11" ht="12.75">
      <c r="C66" s="72" t="s">
        <v>88</v>
      </c>
      <c r="D66" s="136"/>
      <c r="E66" s="136">
        <f>E14</f>
        <v>15.976700000000001</v>
      </c>
      <c r="F66" s="136"/>
      <c r="G66" s="139"/>
      <c r="H66" s="136">
        <f>H14</f>
        <v>2.55365</v>
      </c>
      <c r="I66" s="139"/>
      <c r="K66" s="136">
        <f>K14</f>
        <v>12.76825</v>
      </c>
    </row>
    <row r="67" spans="3:11" ht="12.75">
      <c r="C67" s="72" t="s">
        <v>89</v>
      </c>
      <c r="D67" s="136"/>
      <c r="E67" s="136">
        <f>E32</f>
        <v>2.541</v>
      </c>
      <c r="F67" s="136"/>
      <c r="G67" s="139"/>
      <c r="H67" s="136">
        <f>H32</f>
        <v>0.398466666666667</v>
      </c>
      <c r="I67" s="139"/>
      <c r="K67" s="136">
        <f>K32</f>
        <v>1.99233333333333</v>
      </c>
    </row>
    <row r="68" spans="3:12" ht="12.75">
      <c r="C68" s="72" t="s">
        <v>90</v>
      </c>
      <c r="D68" s="136"/>
      <c r="E68" s="136">
        <f>E46</f>
        <v>0.0315</v>
      </c>
      <c r="F68" s="136"/>
      <c r="G68" s="139"/>
      <c r="H68" s="136">
        <f>H46</f>
        <v>0.00525</v>
      </c>
      <c r="I68" s="139"/>
      <c r="K68" s="136">
        <f>K46</f>
        <v>0.0263</v>
      </c>
      <c r="L68" s="139"/>
    </row>
    <row r="69" spans="3:12" ht="12.75">
      <c r="C69" s="72" t="s">
        <v>8</v>
      </c>
      <c r="D69" s="136"/>
      <c r="E69" s="127">
        <f>SUM(E62:E68)</f>
        <v>307.34050000000013</v>
      </c>
      <c r="F69" s="127"/>
      <c r="G69" s="127"/>
      <c r="H69" s="127">
        <f>SUM(H62:H68)</f>
        <v>48.61148333333334</v>
      </c>
      <c r="I69" s="129"/>
      <c r="J69" s="113"/>
      <c r="K69" s="127">
        <f>SUM(K62:K68)</f>
        <v>242.1000622598531</v>
      </c>
      <c r="L69" s="139"/>
    </row>
    <row r="70" spans="4:12" ht="12.75">
      <c r="D70" s="136"/>
      <c r="E70" s="136"/>
      <c r="F70" s="136"/>
      <c r="G70" s="139"/>
      <c r="H70" s="139"/>
      <c r="I70" s="139"/>
      <c r="K70" s="139"/>
      <c r="L70" s="139"/>
    </row>
    <row r="71" spans="4:12" ht="12.75">
      <c r="D71" s="136"/>
      <c r="E71" s="136"/>
      <c r="F71" s="136"/>
      <c r="G71" s="139"/>
      <c r="H71" s="139"/>
      <c r="I71" s="139"/>
      <c r="K71" s="139"/>
      <c r="L71" s="139"/>
    </row>
    <row r="72" spans="4:12" ht="12.75">
      <c r="D72" s="136"/>
      <c r="E72" s="136"/>
      <c r="F72" s="136"/>
      <c r="G72" s="139"/>
      <c r="H72" s="139"/>
      <c r="I72" s="139"/>
      <c r="K72" s="139"/>
      <c r="L72" s="139"/>
    </row>
    <row r="73" spans="4:12" ht="12.75">
      <c r="D73" s="136"/>
      <c r="E73" s="136"/>
      <c r="F73" s="136"/>
      <c r="G73" s="139"/>
      <c r="H73" s="139"/>
      <c r="I73" s="139"/>
      <c r="K73" s="139"/>
      <c r="L73" s="139"/>
    </row>
    <row r="74" spans="4:12" ht="12.75">
      <c r="D74" s="136"/>
      <c r="E74" s="136"/>
      <c r="F74" s="136"/>
      <c r="G74" s="139"/>
      <c r="H74" s="139"/>
      <c r="I74" s="139"/>
      <c r="K74" s="139"/>
      <c r="L74" s="139"/>
    </row>
  </sheetData>
  <sheetProtection/>
  <mergeCells count="32">
    <mergeCell ref="C59:F59"/>
    <mergeCell ref="E60:F60"/>
    <mergeCell ref="E61:F61"/>
    <mergeCell ref="U7:U8"/>
    <mergeCell ref="D7:D8"/>
    <mergeCell ref="E7:E8"/>
    <mergeCell ref="L5:L8"/>
    <mergeCell ref="M5:O6"/>
    <mergeCell ref="P5:S6"/>
    <mergeCell ref="Q7:Q8"/>
    <mergeCell ref="L1:S1"/>
    <mergeCell ref="U6:V6"/>
    <mergeCell ref="P7:P8"/>
    <mergeCell ref="A3:S3"/>
    <mergeCell ref="A5:A8"/>
    <mergeCell ref="B5:B8"/>
    <mergeCell ref="C5:E6"/>
    <mergeCell ref="C7:C8"/>
    <mergeCell ref="F5:H6"/>
    <mergeCell ref="F7:F8"/>
    <mergeCell ref="V7:V8"/>
    <mergeCell ref="I7:I8"/>
    <mergeCell ref="M7:M8"/>
    <mergeCell ref="O7:O8"/>
    <mergeCell ref="S7:S8"/>
    <mergeCell ref="N7:N8"/>
    <mergeCell ref="R7:R8"/>
    <mergeCell ref="I5:K6"/>
    <mergeCell ref="J7:J8"/>
    <mergeCell ref="K7:K8"/>
    <mergeCell ref="G7:G8"/>
    <mergeCell ref="H7:H8"/>
  </mergeCells>
  <printOptions/>
  <pageMargins left="0.79" right="0.24" top="0.2" bottom="0.18" header="0.5" footer="0.18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1"/>
  <sheetViews>
    <sheetView workbookViewId="0" topLeftCell="A1">
      <selection activeCell="K7" sqref="K7:K8"/>
    </sheetView>
  </sheetViews>
  <sheetFormatPr defaultColWidth="9.00390625" defaultRowHeight="12.75"/>
  <cols>
    <col min="1" max="1" width="0.37109375" style="0" customWidth="1"/>
    <col min="2" max="2" width="48.375" style="0" customWidth="1"/>
    <col min="3" max="4" width="15.75390625" style="0" customWidth="1"/>
    <col min="5" max="5" width="11.25390625" style="0" customWidth="1"/>
    <col min="6" max="7" width="15.625" style="0" customWidth="1"/>
    <col min="8" max="8" width="11.875" style="0" customWidth="1"/>
    <col min="9" max="9" width="16.625" style="0" customWidth="1"/>
    <col min="10" max="10" width="16.375" style="0" customWidth="1"/>
    <col min="11" max="11" width="11.875" style="0" customWidth="1"/>
  </cols>
  <sheetData>
    <row r="1" spans="5:18" ht="27.75" customHeight="1">
      <c r="E1" s="172" t="s">
        <v>112</v>
      </c>
      <c r="F1" s="172"/>
      <c r="G1" s="172"/>
      <c r="H1" s="172"/>
      <c r="I1" s="172"/>
      <c r="J1" s="172"/>
      <c r="K1" s="172"/>
      <c r="L1" s="147"/>
      <c r="M1" s="147"/>
      <c r="N1" s="147"/>
      <c r="O1" s="147"/>
      <c r="P1" s="147"/>
      <c r="Q1" s="147"/>
      <c r="R1" s="147"/>
    </row>
    <row r="2" spans="5:18" ht="7.5" customHeight="1">
      <c r="E2" s="172"/>
      <c r="F2" s="172"/>
      <c r="G2" s="172"/>
      <c r="H2" s="172"/>
      <c r="I2" s="172"/>
      <c r="J2" s="172"/>
      <c r="K2" s="172"/>
      <c r="L2" s="2"/>
      <c r="M2" s="2"/>
      <c r="N2" s="2"/>
      <c r="O2" s="2"/>
      <c r="P2" s="2"/>
      <c r="Q2" s="2"/>
      <c r="R2" s="2"/>
    </row>
    <row r="4" spans="2:11" ht="31.5" customHeight="1">
      <c r="B4" s="173" t="s">
        <v>91</v>
      </c>
      <c r="C4" s="173"/>
      <c r="D4" s="173"/>
      <c r="E4" s="173"/>
      <c r="F4" s="173"/>
      <c r="G4" s="173"/>
      <c r="H4" s="173"/>
      <c r="I4" s="173"/>
      <c r="J4" s="173"/>
      <c r="K4" s="173"/>
    </row>
    <row r="6" spans="2:11" ht="12.75">
      <c r="B6" s="211"/>
      <c r="C6" s="171" t="s">
        <v>41</v>
      </c>
      <c r="D6" s="171"/>
      <c r="E6" s="171"/>
      <c r="F6" s="171" t="s">
        <v>42</v>
      </c>
      <c r="G6" s="171"/>
      <c r="H6" s="171"/>
      <c r="I6" s="214" t="s">
        <v>43</v>
      </c>
      <c r="J6" s="215"/>
      <c r="K6" s="216"/>
    </row>
    <row r="7" spans="2:11" ht="12.75" customHeight="1">
      <c r="B7" s="212"/>
      <c r="C7" s="171" t="s">
        <v>92</v>
      </c>
      <c r="D7" s="171"/>
      <c r="E7" s="171" t="s">
        <v>115</v>
      </c>
      <c r="F7" s="171" t="s">
        <v>92</v>
      </c>
      <c r="G7" s="171"/>
      <c r="H7" s="171" t="s">
        <v>115</v>
      </c>
      <c r="I7" s="171" t="s">
        <v>92</v>
      </c>
      <c r="J7" s="171"/>
      <c r="K7" s="171" t="s">
        <v>115</v>
      </c>
    </row>
    <row r="8" spans="2:11" ht="63.75">
      <c r="B8" s="213"/>
      <c r="C8" s="148" t="s">
        <v>113</v>
      </c>
      <c r="D8" s="148" t="s">
        <v>114</v>
      </c>
      <c r="E8" s="171"/>
      <c r="F8" s="148" t="s">
        <v>113</v>
      </c>
      <c r="G8" s="148" t="s">
        <v>114</v>
      </c>
      <c r="H8" s="171"/>
      <c r="I8" s="148" t="s">
        <v>113</v>
      </c>
      <c r="J8" s="148" t="s">
        <v>114</v>
      </c>
      <c r="K8" s="171"/>
    </row>
    <row r="9" spans="2:11" ht="25.5">
      <c r="B9" s="149" t="s">
        <v>93</v>
      </c>
      <c r="C9" s="150">
        <f>'[1]расчет инд. тарифов'!C46</f>
        <v>341062.1237734763</v>
      </c>
      <c r="D9" s="150">
        <f>'[1]расчет инд. тарифов'!D46</f>
        <v>730.028098193834</v>
      </c>
      <c r="E9" s="151">
        <f>'[1]расчет инд. тарифов'!E46</f>
        <v>3.467120071903734</v>
      </c>
      <c r="F9" s="150">
        <f>'[1]расчет инд. тарифов'!F46</f>
        <v>341062.1237734763</v>
      </c>
      <c r="G9" s="150">
        <f>'[1]расчет инд. тарифов'!G46</f>
        <v>750.134629520408</v>
      </c>
      <c r="H9" s="151">
        <f>'[1]расчет инд. тарифов'!H46</f>
        <v>3.813265837090214</v>
      </c>
      <c r="I9" s="150">
        <f>'[1]расчет инд. тарифов'!I46</f>
        <v>340311.60096211906</v>
      </c>
      <c r="J9" s="150">
        <f>'[1]расчет инд. тарифов'!J46</f>
        <v>611.8465639193711</v>
      </c>
      <c r="K9" s="151">
        <f>'[1]расчет инд. тарифов'!K46</f>
        <v>3.6353444109108244</v>
      </c>
    </row>
    <row r="10" spans="2:11" ht="25.5">
      <c r="B10" s="149" t="s">
        <v>94</v>
      </c>
      <c r="C10" s="150">
        <f>'[1]расчет инд. тарифов'!C47</f>
        <v>73891.95945065707</v>
      </c>
      <c r="D10" s="150">
        <f>'[1]расчет инд. тарифов'!D47</f>
        <v>264.763908492792</v>
      </c>
      <c r="E10" s="151">
        <f>'[1]расчет инд. тарифов'!E47</f>
        <v>1.0085835352704877</v>
      </c>
      <c r="F10" s="150">
        <f>'[1]расчет инд. тарифов'!F47</f>
        <v>73891.95945065707</v>
      </c>
      <c r="G10" s="150">
        <f>'[1]расчет инд. тарифов'!G47</f>
        <v>205.31977908694662</v>
      </c>
      <c r="H10" s="151">
        <f>'[1]расчет инд. тарифов'!H47</f>
        <v>1.02735229925142</v>
      </c>
      <c r="I10" s="150">
        <f>'[1]расчет инд. тарифов'!I47</f>
        <v>73891.95945065707</v>
      </c>
      <c r="J10" s="150">
        <f>'[1]расчет инд. тарифов'!J47</f>
        <v>419.11752899471395</v>
      </c>
      <c r="K10" s="151">
        <f>'[1]расчет инд. тарифов'!K47</f>
        <v>1.2210879009625395</v>
      </c>
    </row>
    <row r="11" spans="2:11" ht="51">
      <c r="B11" s="149" t="s">
        <v>95</v>
      </c>
      <c r="C11" s="150">
        <f>'[1]расчет инд. тарифов'!C48</f>
        <v>23481.290400699534</v>
      </c>
      <c r="D11" s="150">
        <f>'[1]расчет инд. тарифов'!D48</f>
        <v>24.59601640234157</v>
      </c>
      <c r="E11" s="151">
        <f>'[1]расчет инд. тарифов'!E48</f>
        <v>0.26045578322833945</v>
      </c>
      <c r="F11" s="150">
        <f>'[1]расчет инд. тарифов'!F48</f>
        <v>23481.290400699534</v>
      </c>
      <c r="G11" s="150">
        <f>'[1]расчет инд. тарифов'!G48</f>
        <v>20.92009124048037</v>
      </c>
      <c r="H11" s="151">
        <f>'[1]расчет инд. тарифов'!H48</f>
        <v>0.30193421622023714</v>
      </c>
      <c r="I11" s="150">
        <f>'[1]расчет инд. тарифов'!I48</f>
        <v>23481.290400699534</v>
      </c>
      <c r="J11" s="150">
        <f>'[1]расчет инд. тарифов'!J48</f>
        <v>22.804881435008745</v>
      </c>
      <c r="K11" s="151">
        <f>'[1]расчет инд. тарифов'!K48</f>
        <v>0.3038190064147651</v>
      </c>
    </row>
    <row r="12" spans="2:11" ht="25.5">
      <c r="B12" s="149" t="s">
        <v>96</v>
      </c>
      <c r="C12" s="150">
        <f>'[1]расчет инд. тарифов'!C49</f>
        <v>464236.01150931965</v>
      </c>
      <c r="D12" s="150">
        <f>'[1]расчет инд. тарифов'!D49</f>
        <v>227.0038409376271</v>
      </c>
      <c r="E12" s="151">
        <f>'[1]расчет инд. тарифов'!E49</f>
        <v>2.2848134089676795</v>
      </c>
      <c r="F12" s="150">
        <f>'[1]расчет инд. тарифов'!F49</f>
        <v>464236.01150931965</v>
      </c>
      <c r="G12" s="150">
        <f>'[1]расчет инд. тарифов'!G49</f>
        <v>205.85999999999999</v>
      </c>
      <c r="H12" s="151">
        <f>'[1]расчет инд. тарифов'!H49</f>
        <v>2.835341001735483</v>
      </c>
      <c r="I12" s="150">
        <f>'[1]расчет инд. тарифов'!I49</f>
        <v>464236.01150931965</v>
      </c>
      <c r="J12" s="150">
        <f>'[1]расчет инд. тарифов'!J49</f>
        <v>203.4706792327065</v>
      </c>
      <c r="K12" s="151">
        <f>'[1]расчет инд. тарифов'!K49</f>
        <v>2.8329516809681925</v>
      </c>
    </row>
    <row r="13" spans="2:11" ht="25.5">
      <c r="B13" s="149" t="s">
        <v>97</v>
      </c>
      <c r="C13" s="150">
        <f>'[1]расчет инд. тарифов'!C50</f>
        <v>136183.87999999998</v>
      </c>
      <c r="D13" s="150">
        <f>'[1]расчет инд. тарифов'!D50</f>
        <v>0</v>
      </c>
      <c r="E13" s="151">
        <f>'[1]расчет инд. тарифов'!E50</f>
        <v>4.0945125080189495</v>
      </c>
      <c r="F13" s="150">
        <f>'[1]расчет инд. тарифов'!F50</f>
        <v>136183.87999999998</v>
      </c>
      <c r="G13" s="150">
        <f>'[1]расчет инд. тарифов'!G50</f>
        <v>0</v>
      </c>
      <c r="H13" s="151">
        <f>'[1]расчет инд. тарифов'!H50</f>
        <v>4.554033783320363</v>
      </c>
      <c r="I13" s="150">
        <f>'[1]расчет инд. тарифов'!I50</f>
        <v>136220.8525857623</v>
      </c>
      <c r="J13" s="150">
        <f>'[1]расчет инд. тарифов'!J50</f>
        <v>0</v>
      </c>
      <c r="K13" s="151">
        <f>'[1]расчет инд. тарифов'!K50</f>
        <v>4.5552701587608215</v>
      </c>
    </row>
    <row r="14" spans="2:11" ht="25.5">
      <c r="B14" s="149" t="s">
        <v>98</v>
      </c>
      <c r="C14" s="150">
        <f>'[1]расчет инд. тарифов'!C51</f>
        <v>7432.848782771536</v>
      </c>
      <c r="D14" s="150">
        <f>'[1]расчет инд. тарифов'!D51</f>
        <v>356.9618429610519</v>
      </c>
      <c r="E14" s="151">
        <f>'[1]расчет инд. тарифов'!E51</f>
        <v>1.7998673595534607</v>
      </c>
      <c r="F14" s="150">
        <f>'[1]расчет инд. тарифов'!F51</f>
        <v>7432.848782771536</v>
      </c>
      <c r="G14" s="150">
        <f>'[1]расчет инд. тарифов'!G51</f>
        <v>261.6422895017504</v>
      </c>
      <c r="H14" s="151">
        <f>'[1]расчет инд. тарифов'!H51</f>
        <v>1.737921818064361</v>
      </c>
      <c r="I14" s="150">
        <f>'[1]расчет инд. тарифов'!I51</f>
        <v>7432.848782771536</v>
      </c>
      <c r="J14" s="150">
        <f>'[1]расчет инд. тарифов'!J51</f>
        <v>293.961284453241</v>
      </c>
      <c r="K14" s="151">
        <f>'[1]расчет инд. тарифов'!K51</f>
        <v>1.7702408130158533</v>
      </c>
    </row>
    <row r="15" spans="2:11" ht="25.5">
      <c r="B15" s="149" t="s">
        <v>99</v>
      </c>
      <c r="C15" s="150">
        <f>'[1]расчет инд. тарифов'!C52</f>
        <v>27684.350747133096</v>
      </c>
      <c r="D15" s="150">
        <f>'[1]расчет инд. тарифов'!D52</f>
        <v>158.08782435594009</v>
      </c>
      <c r="E15" s="151">
        <f>'[1]расчет инд. тарифов'!E52</f>
        <v>0.6009463478242207</v>
      </c>
      <c r="F15" s="150">
        <f>'[1]расчет инд. тарифов'!F52</f>
        <v>27684.350747133096</v>
      </c>
      <c r="G15" s="150">
        <f>'[1]расчет инд. тарифов'!G52</f>
        <v>152.3052099732506</v>
      </c>
      <c r="H15" s="151">
        <f>'[1]расчет инд. тарифов'!H52</f>
        <v>0.6887911084708154</v>
      </c>
      <c r="I15" s="150">
        <f>'[1]расчет инд. тарифов'!I52</f>
        <v>27684.350747133096</v>
      </c>
      <c r="J15" s="150">
        <f>'[1]расчет инд. тарифов'!J52</f>
        <v>144.38933169225365</v>
      </c>
      <c r="K15" s="151">
        <f>'[1]расчет инд. тарифов'!K52</f>
        <v>0.6808752301898204</v>
      </c>
    </row>
    <row r="16" spans="2:11" ht="25.5">
      <c r="B16" s="149" t="s">
        <v>100</v>
      </c>
      <c r="C16" s="150">
        <f>'[1]расчет инд. тарифов'!C53</f>
        <v>222406.11000000004</v>
      </c>
      <c r="D16" s="150">
        <f>'[1]расчет инд. тарифов'!D53</f>
        <v>124.80386608119913</v>
      </c>
      <c r="E16" s="151">
        <f>'[1]расчет инд. тарифов'!E53</f>
        <v>0.46061129625583125</v>
      </c>
      <c r="F16" s="150">
        <f>'[1]расчет инд. тарифов'!F53</f>
        <v>222406.11000000004</v>
      </c>
      <c r="G16" s="150">
        <f>'[1]расчет инд. тарифов'!G53</f>
        <v>117.61737587037716</v>
      </c>
      <c r="H16" s="151">
        <f>'[1]расчет инд. тарифов'!H53</f>
        <v>0.4566332037242852</v>
      </c>
      <c r="I16" s="150">
        <f>'[1]расчет инд. тарифов'!I53</f>
        <v>0</v>
      </c>
      <c r="J16" s="150">
        <f>'[1]расчет инд. тарифов'!J53</f>
        <v>0</v>
      </c>
      <c r="K16" s="151">
        <f>'[1]расчет инд. тарифов'!K53</f>
        <v>0</v>
      </c>
    </row>
    <row r="17" spans="2:11" ht="25.5">
      <c r="B17" s="149" t="s">
        <v>101</v>
      </c>
      <c r="C17" s="150">
        <f>'[1]расчет инд. тарифов'!C54</f>
        <v>26258.510000000002</v>
      </c>
      <c r="D17" s="150">
        <f>'[1]расчет инд. тарифов'!D54</f>
        <v>96.32741517904108</v>
      </c>
      <c r="E17" s="151">
        <f>'[1]расчет инд. тарифов'!E54</f>
        <v>1.8194976067553326</v>
      </c>
      <c r="F17" s="150">
        <f>'[1]расчет инд. тарифов'!F54</f>
        <v>26258.510000000002</v>
      </c>
      <c r="G17" s="150">
        <f>'[1]расчет инд. тарифов'!G54</f>
        <v>88.08411634055037</v>
      </c>
      <c r="H17" s="151">
        <f>'[1]расчет инд. тарифов'!H54</f>
        <v>1.9349773909569574</v>
      </c>
      <c r="I17" s="150">
        <f>'[1]расчет инд. тарифов'!I54</f>
        <v>0</v>
      </c>
      <c r="J17" s="150">
        <f>'[1]расчет инд. тарифов'!J54</f>
        <v>0</v>
      </c>
      <c r="K17" s="151">
        <f>'[1]расчет инд. тарифов'!K54</f>
        <v>0</v>
      </c>
    </row>
    <row r="18" spans="2:11" ht="38.25">
      <c r="B18" s="149" t="s">
        <v>102</v>
      </c>
      <c r="C18" s="150">
        <f>'[1]расчет инд. тарифов'!C55</f>
        <v>634.7868735509185</v>
      </c>
      <c r="D18" s="150">
        <f>'[1]расчет инд. тарифов'!D55</f>
        <v>24.089462348635855</v>
      </c>
      <c r="E18" s="151">
        <f>'[1]расчет инд. тарифов'!E55</f>
        <v>0.059307833066745516</v>
      </c>
      <c r="F18" s="150">
        <f>'[1]расчет инд. тарифов'!F55</f>
        <v>634.7868735509185</v>
      </c>
      <c r="G18" s="150">
        <f>'[1]расчет инд. тарифов'!G55</f>
        <v>17.559987929581382</v>
      </c>
      <c r="H18" s="151">
        <f>'[1]расчет инд. тарифов'!H55</f>
        <v>0.05127703301990282</v>
      </c>
      <c r="I18" s="150">
        <f>'[1]расчет инд. тарифов'!I55</f>
        <v>634.7868735509185</v>
      </c>
      <c r="J18" s="150">
        <f>'[1]расчет инд. тарифов'!J55</f>
        <v>19.766639845991545</v>
      </c>
      <c r="K18" s="151">
        <f>'[1]расчет инд. тарифов'!K55</f>
        <v>0.053483684936312975</v>
      </c>
    </row>
    <row r="19" spans="2:11" ht="25.5">
      <c r="B19" s="149" t="s">
        <v>103</v>
      </c>
      <c r="C19" s="150">
        <f>'[1]расчет инд. тарифов'!C56</f>
        <v>10.010000000000002</v>
      </c>
      <c r="D19" s="150">
        <f>'[1]расчет инд. тарифов'!D56</f>
        <v>46.19319685703992</v>
      </c>
      <c r="E19" s="151">
        <f>'[1]расчет инд. тарифов'!E56</f>
        <v>0.04706155436999875</v>
      </c>
      <c r="F19" s="150">
        <f>'[1]расчет инд. тарифов'!F56</f>
        <v>10.010000000000002</v>
      </c>
      <c r="G19" s="150">
        <f>'[1]расчет инд. тарифов'!G56</f>
        <v>45.76570101234215</v>
      </c>
      <c r="H19" s="151">
        <f>'[1]расчет инд. тарифов'!H56</f>
        <v>0.0467209823888843</v>
      </c>
      <c r="I19" s="150">
        <f>'[1]расчет инд. тарифов'!I56</f>
        <v>0</v>
      </c>
      <c r="J19" s="150">
        <f>'[1]расчет инд. тарифов'!J56</f>
        <v>0</v>
      </c>
      <c r="K19" s="151">
        <f>'[1]расчет инд. тарифов'!K56</f>
        <v>0</v>
      </c>
    </row>
    <row r="20" spans="2:11" ht="25.5">
      <c r="B20" s="149" t="s">
        <v>104</v>
      </c>
      <c r="C20" s="150">
        <f>'[1]расчет инд. тарифов'!C57</f>
        <v>11.57</v>
      </c>
      <c r="D20" s="150">
        <f>'[1]расчет инд. тарифов'!D57</f>
        <v>111.51458726033049</v>
      </c>
      <c r="E20" s="151">
        <f>'[1]расчет инд. тарифов'!E57</f>
        <v>0.1115172883094091</v>
      </c>
      <c r="F20" s="150">
        <f>'[1]расчет инд. тарифов'!F57</f>
        <v>11.57</v>
      </c>
      <c r="G20" s="150">
        <f>'[1]расчет инд. тарифов'!G57</f>
        <v>89.01646360407162</v>
      </c>
      <c r="H20" s="151">
        <f>'[1]расчет инд. тарифов'!H57</f>
        <v>0.08901904492178464</v>
      </c>
      <c r="I20" s="150">
        <f>'[1]расчет инд. тарифов'!I57</f>
        <v>0</v>
      </c>
      <c r="J20" s="150">
        <f>'[1]расчет инд. тарифов'!J57</f>
        <v>0</v>
      </c>
      <c r="K20" s="151">
        <f>'[1]расчет инд. тарифов'!K57</f>
        <v>0</v>
      </c>
    </row>
    <row r="21" spans="2:11" ht="25.5">
      <c r="B21" s="149" t="s">
        <v>105</v>
      </c>
      <c r="C21" s="150">
        <f>'[1]расчет инд. тарифов'!C58</f>
        <v>10487.59</v>
      </c>
      <c r="D21" s="150">
        <f>'[1]расчет инд. тарифов'!D58</f>
        <v>54.04842739734766</v>
      </c>
      <c r="E21" s="151">
        <f>'[1]расчет инд. тарифов'!E58</f>
        <v>2.324570563873378</v>
      </c>
      <c r="F21" s="150">
        <f>'[1]расчет инд. тарифов'!F58</f>
        <v>10487.59</v>
      </c>
      <c r="G21" s="150">
        <f>'[1]расчет инд. тарифов'!G58</f>
        <v>53.555388429448655</v>
      </c>
      <c r="H21" s="151">
        <f>'[1]расчет инд. тарифов'!H58</f>
        <v>2.9413100000050942</v>
      </c>
      <c r="I21" s="150">
        <f>'[1]расчет инд. тарифов'!I58</f>
        <v>0</v>
      </c>
      <c r="J21" s="150">
        <f>'[1]расчет инд. тарифов'!J58</f>
        <v>0</v>
      </c>
      <c r="K21" s="151">
        <f>'[1]расчет инд. тарифов'!K58</f>
        <v>0</v>
      </c>
    </row>
  </sheetData>
  <sheetProtection/>
  <mergeCells count="12">
    <mergeCell ref="E1:K2"/>
    <mergeCell ref="B4:K4"/>
    <mergeCell ref="B6:B8"/>
    <mergeCell ref="C6:E6"/>
    <mergeCell ref="F6:H6"/>
    <mergeCell ref="I6:K6"/>
    <mergeCell ref="C7:D7"/>
    <mergeCell ref="E7:E8"/>
    <mergeCell ref="F7:G7"/>
    <mergeCell ref="H7:H8"/>
    <mergeCell ref="I7:J7"/>
    <mergeCell ref="K7:K8"/>
  </mergeCells>
  <printOptions/>
  <pageMargins left="0.33" right="0.16" top="0.62" bottom="0.57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Базанова</dc:creator>
  <cp:keywords/>
  <dc:description/>
  <cp:lastModifiedBy>Базанова</cp:lastModifiedBy>
  <cp:lastPrinted>2017-08-03T08:48:27Z</cp:lastPrinted>
  <dcterms:created xsi:type="dcterms:W3CDTF">2017-08-03T08:27:19Z</dcterms:created>
  <dcterms:modified xsi:type="dcterms:W3CDTF">2017-08-15T12:33:04Z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