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<sst xmlns="http://schemas.openxmlformats.org/spreadsheetml/2006/main" count="297" uniqueCount="171">
  <si>
    <t>%</t>
  </si>
  <si>
    <t>у.е.</t>
  </si>
  <si>
    <t>№ п/п</t>
  </si>
  <si>
    <t>Единица измерения</t>
  </si>
  <si>
    <t>тыс.руб.</t>
  </si>
  <si>
    <t>Расходы на оплату труда</t>
  </si>
  <si>
    <t>Плата за землю</t>
  </si>
  <si>
    <t>Налог на имущество</t>
  </si>
  <si>
    <t>Налог на прибыль</t>
  </si>
  <si>
    <t>Параметры</t>
  </si>
  <si>
    <t>1.</t>
  </si>
  <si>
    <t>Индекс потребительских цен</t>
  </si>
  <si>
    <t>2.</t>
  </si>
  <si>
    <t>3.</t>
  </si>
  <si>
    <t>тыс. руб.</t>
  </si>
  <si>
    <t>4.</t>
  </si>
  <si>
    <t>МВт</t>
  </si>
  <si>
    <t>5.</t>
  </si>
  <si>
    <t>Величина мощности</t>
  </si>
  <si>
    <t>Количество активов</t>
  </si>
  <si>
    <t>Величина неподконтрольных расходов</t>
  </si>
  <si>
    <t>Величина полезного отпуска электрической энергии</t>
  </si>
  <si>
    <t>2015 год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</si>
  <si>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</si>
  <si>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</si>
  <si>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</si>
  <si>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</si>
  <si>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Х</t>
  </si>
  <si>
    <t>2016 год</t>
  </si>
  <si>
    <t xml:space="preserve">Наименование сетевой организации </t>
  </si>
  <si>
    <t>НВВ без учета оплаты потерь</t>
  </si>
  <si>
    <t>№ п.п.</t>
  </si>
  <si>
    <t>Наименование</t>
  </si>
  <si>
    <t>Ед.изм.</t>
  </si>
  <si>
    <t xml:space="preserve">2014 год </t>
  </si>
  <si>
    <t>Факт</t>
  </si>
  <si>
    <t>Уверждено</t>
  </si>
  <si>
    <t>Ожид.</t>
  </si>
  <si>
    <t>Утверждено</t>
  </si>
  <si>
    <t>предложено ТСО</t>
  </si>
  <si>
    <t>Долгосрочные параметры регулирования</t>
  </si>
  <si>
    <t>Базовый уровень подконтрольных расходов (ПР)</t>
  </si>
  <si>
    <t>Индекс эффективности подконтрольных расходов (Хэф)</t>
  </si>
  <si>
    <t>х</t>
  </si>
  <si>
    <t>Коэффициент эластичности подконтрольных расходов по количеству активов (К эл)</t>
  </si>
  <si>
    <t>знач.</t>
  </si>
  <si>
    <t>Максимально возможная корректировка НВВ, с учетом достижения установленного уровня надежности и качества услуг, в соответствии с приказом ФСТ от 26.10.2010 №254-э/1, а именно:</t>
  </si>
  <si>
    <t>-</t>
  </si>
  <si>
    <t xml:space="preserve">   в случае предоставления сетевой организацией недостоверных отчетных данных или их непредставления (со знаком  минус)</t>
  </si>
  <si>
    <t>от 0,5 до 3</t>
  </si>
  <si>
    <t xml:space="preserve">   при предоставлении сетевой организацией достоверных отчетных данных </t>
  </si>
  <si>
    <t>расчетное значение</t>
  </si>
  <si>
    <t>Величина технологического расхода</t>
  </si>
  <si>
    <t>млн. кВт.ч</t>
  </si>
  <si>
    <t>Уровень надежности и качества оказываемых услуг</t>
  </si>
  <si>
    <t>6.1.</t>
  </si>
  <si>
    <t>Показатель средней продолжительности прекращения передачи электрическолй энергии (Пп)</t>
  </si>
  <si>
    <t>6.2.</t>
  </si>
  <si>
    <t>Показатель уровня качества осуществляемого технологического присоединения (Птпр)</t>
  </si>
  <si>
    <t>6.3.</t>
  </si>
  <si>
    <t>Показатель уровня качества оказываемых услуг территориальных сетевых организаций (Птсо)</t>
  </si>
  <si>
    <t>Планируемые значения параметров расчета тарифов</t>
  </si>
  <si>
    <t>Индекс потребительских цен (ИПЦ)</t>
  </si>
  <si>
    <t>Количество активов (УЕ)</t>
  </si>
  <si>
    <t>Величина неподконтрольных расходов (НР)</t>
  </si>
  <si>
    <t>млн.кВт.ч.</t>
  </si>
  <si>
    <t>Прогнозная цена (тариф) покупки потерь электрической энергии</t>
  </si>
  <si>
    <t>руб./МВт.ч.</t>
  </si>
  <si>
    <t>Расчетные показатели</t>
  </si>
  <si>
    <t>Доля подконтрольных расходов на МВт.ч.</t>
  </si>
  <si>
    <t>руб.МВт.ч.</t>
  </si>
  <si>
    <t>x</t>
  </si>
  <si>
    <t>Проверка прибыли на капитальные вложения (не более 12 % от НВВ на содержание сетей)</t>
  </si>
  <si>
    <t xml:space="preserve">НВВ для расчета КВЛ </t>
  </si>
  <si>
    <t>Индекс изменения количества активов (ИКА)</t>
  </si>
  <si>
    <t>6.</t>
  </si>
  <si>
    <t xml:space="preserve">Общий коэффициент индексации подконтрольных расходов </t>
  </si>
  <si>
    <t>Подконтрольные расходы организации (ПР)</t>
  </si>
  <si>
    <t>Ремонт основных фондов</t>
  </si>
  <si>
    <t>Другие обоснованные подконтрольные расходы, в том числе:</t>
  </si>
  <si>
    <t>4.1</t>
  </si>
  <si>
    <t>4.2</t>
  </si>
  <si>
    <t xml:space="preserve">Работы и услуги непроизводственного характера </t>
  </si>
  <si>
    <t>Расходы на обучение персонала</t>
  </si>
  <si>
    <t>Расходы на страхование</t>
  </si>
  <si>
    <t>4.7</t>
  </si>
  <si>
    <t>Итого ПР с учетом индексации:</t>
  </si>
  <si>
    <t>Неподконтрольные расходы организации (НР)</t>
  </si>
  <si>
    <t>Амортизация основных средств</t>
  </si>
  <si>
    <t>Отчисления на социальные нужды</t>
  </si>
  <si>
    <t>Налоги и сборы, в том числе:</t>
  </si>
  <si>
    <t>3.1</t>
  </si>
  <si>
    <t>3.2</t>
  </si>
  <si>
    <t>Транспортный налог</t>
  </si>
  <si>
    <t>3.3</t>
  </si>
  <si>
    <t>3.4</t>
  </si>
  <si>
    <t>Плата за негативное воздействие на окружающую среду</t>
  </si>
  <si>
    <t>3.1.</t>
  </si>
  <si>
    <t>Плата за аренду имущества</t>
  </si>
  <si>
    <t>Итого НР:</t>
  </si>
  <si>
    <t xml:space="preserve">Корректировка необходимой валовой выручки </t>
  </si>
  <si>
    <t>Корректировка подконтрольных расходов</t>
  </si>
  <si>
    <t>Корректировка неподконтрольных расходов</t>
  </si>
  <si>
    <t xml:space="preserve">Корректировка НВВ с учетом изменения полезного отпуска и цен на электрическую энергию </t>
  </si>
  <si>
    <t xml:space="preserve">Корректировка НВВ в связи с изменением (неисполнением) инвестиционной программы </t>
  </si>
  <si>
    <t xml:space="preserve">Корректировка НВВ с учетом надежности и качества оказываемых услуг </t>
  </si>
  <si>
    <t>Итого корректировка НВВ</t>
  </si>
  <si>
    <t>2018 год</t>
  </si>
  <si>
    <t>2019 год</t>
  </si>
  <si>
    <t>2020 год</t>
  </si>
  <si>
    <t>3.2.</t>
  </si>
  <si>
    <t>Показатель средней продолжительности прекращения передачи электрической энергии на точку поставки (Пsaidi)</t>
  </si>
  <si>
    <t>Показатель уровня качества осуществляемого технологического присоединения к сети (Птпр)</t>
  </si>
  <si>
    <t>2021 год</t>
  </si>
  <si>
    <t>2022 год</t>
  </si>
  <si>
    <t>Планируемые значения параметров расчета тарифов филиала ПАО «МРСК Северо-Запада» «Карелэнерго»                                                                   на 2018 - 2022 гг.</t>
  </si>
  <si>
    <t>Долгосрочные параметры регулирования для филиала ПАО «МРСК Северо-Запада» «Карелэнерго», в отношении которого тарифы на услуги по передаче электрической энергии устанавливаются с применением долгосрочной индексации необходимой валовой выручки</t>
  </si>
  <si>
    <t>Величина технологического расхода (потерь) электрической энергии (уровень потерь электрической энергии при ее передаче по электрическим сетям)</t>
  </si>
  <si>
    <t>Показатель средней частоты прекращения передачи электрической энергии на точку поставки (Пsaidi)</t>
  </si>
  <si>
    <t>млн. руб.</t>
  </si>
  <si>
    <t xml:space="preserve">Филиал ПАО «МРСК Северо-Запада» «Карелэнерго» </t>
  </si>
  <si>
    <t xml:space="preserve">Необходимая валовая выручка на содержание электрических сетей филиала ПАО «МРСК Северо-Запада» «Карелэнерго» на долгосрочный период регулирования                                                                                                              </t>
  </si>
  <si>
    <t>Расходы на сырье и материалы</t>
  </si>
  <si>
    <t xml:space="preserve">Работы и услуги производственного характера </t>
  </si>
  <si>
    <t>Расходы на экологию</t>
  </si>
  <si>
    <t>Командировочные и представительские расходы</t>
  </si>
  <si>
    <t>Управленческие расходы</t>
  </si>
  <si>
    <t>Услуги банка</t>
  </si>
  <si>
    <t>Энергия на производственные и хозяйственные нужды</t>
  </si>
  <si>
    <t>Прочие обоснованные подконтрольные расходы</t>
  </si>
  <si>
    <t>Расходы из прибыли, в том числе:</t>
  </si>
  <si>
    <t>Денежные выплаты социального характера</t>
  </si>
  <si>
    <t xml:space="preserve">2. </t>
  </si>
  <si>
    <t xml:space="preserve">3. </t>
  </si>
  <si>
    <t xml:space="preserve">4. </t>
  </si>
  <si>
    <t>4.3</t>
  </si>
  <si>
    <t>4.4</t>
  </si>
  <si>
    <t>4.5</t>
  </si>
  <si>
    <t>4.6</t>
  </si>
  <si>
    <t>4.8</t>
  </si>
  <si>
    <t>4.9</t>
  </si>
  <si>
    <t>4.10</t>
  </si>
  <si>
    <t>5.1</t>
  </si>
  <si>
    <t>Водный налог</t>
  </si>
  <si>
    <t xml:space="preserve">Расходы на оплату услуг ПАО «ФСК ЕЭС» </t>
  </si>
  <si>
    <t>Расходы, связанные с осуществлением технологического присоединения энергопринимающих устройств максимальной мощностью до 15 кВт включительно</t>
  </si>
  <si>
    <t>Расходы, связанные с предоставлением беспроцентной рассрочки по оплате технологического присоединения</t>
  </si>
  <si>
    <r>
      <t xml:space="preserve">Расходы по мероприятиям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последней мили</t>
    </r>
    <r>
      <rPr>
        <sz val="12"/>
        <rFont val="Arial"/>
        <family val="2"/>
      </rPr>
      <t>»</t>
    </r>
    <r>
      <rPr>
        <sz val="12"/>
        <rFont val="Times New Roman"/>
        <family val="1"/>
      </rPr>
      <t>, связанные с осуществлением технологического присоединения энергопринимающих устройств максимальной мощностью до 150 кВт включительно</t>
    </r>
  </si>
  <si>
    <t>3.5</t>
  </si>
  <si>
    <t>3.6</t>
  </si>
  <si>
    <t>7.</t>
  </si>
  <si>
    <t>8.</t>
  </si>
  <si>
    <t>9.</t>
  </si>
  <si>
    <t>Корректировка необходимой валовой выручки</t>
  </si>
  <si>
    <t>1.1.</t>
  </si>
  <si>
    <t>1.2.</t>
  </si>
  <si>
    <t>1.3.</t>
  </si>
  <si>
    <t>1.4.</t>
  </si>
  <si>
    <t>1.5.</t>
  </si>
  <si>
    <t>Результаты деятельности организации за 2016 год</t>
  </si>
  <si>
    <t xml:space="preserve">Корректировка НВВ, связанная с экономией расходов за первый долгосрочный период регулирования </t>
  </si>
  <si>
    <t>Экономия операционных расходов за первый долгосрочный период регулирования в каждом году долгосрочного периода регулирования</t>
  </si>
  <si>
    <t>Экономия от снижения объема технологических потерь электрической энергии в течение первого долгосрочного периода регулирования</t>
  </si>
  <si>
    <t>Компенсация величины сглаживания, накопленной в рамках первого долгосрочного периода регулирования</t>
  </si>
  <si>
    <t>НВВ организации на содержание электрических сетей</t>
  </si>
  <si>
    <t>Необходимая валовая выручка (НВВ) организации на оказание услуги по передаче электрической энергии</t>
  </si>
  <si>
    <t>Необходимая валовая выручка на содержание электрических сетей филиала ПАО «МРСК Северо-Запада» «Карелэнерго»                                                                               на 2018-2022 гг.</t>
  </si>
  <si>
    <t>Приложение № 3 к протоколу заседания Правления Государственного комитета Республики Карелия по ценам и тарифам от 29.12.2017 № 194</t>
  </si>
  <si>
    <t>Приложение № 4 к протоколу заседания Правления Государственного комитета Республики Карелия по ценам и тарифам от 29.12.2017 № 194</t>
  </si>
  <si>
    <t>Приложение № 1 к протоколу заседания Правления Государственного комитета Республики Карелия по ценам и тарифам от 29.12.2017 № 194</t>
  </si>
  <si>
    <t>Приложение № 2 к протоколу заседания Правления Государственного комитета Республики Карелия по ценам и тарифам от 29.12.2017 № 194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</si>
</sst>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0.0000"/>
    <numFmt numFmtId="192" formatCode="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00000"/>
    <numFmt numFmtId="198" formatCode="#,##0.0000"/>
    <numFmt numFmtId="199" formatCode="#,##0.000"/>
    <numFmt numFmtId="200" formatCode="0.0%"/>
    <numFmt numFmtId="201" formatCode="#,##0.00_ ;\-#,##0.00\ "/>
  </numFmts>
  <fonts count="3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6" fillId="0" borderId="0" xfId="52" applyFont="1" applyProtection="1">
      <alignment/>
      <protection locked="0"/>
    </xf>
    <xf numFmtId="0" fontId="6" fillId="0" borderId="0" xfId="52" applyFont="1" applyProtection="1">
      <alignment/>
      <protection/>
    </xf>
    <xf numFmtId="0" fontId="6" fillId="0" borderId="0" xfId="52" applyFont="1" applyAlignment="1" applyProtection="1">
      <alignment horizontal="center"/>
      <protection/>
    </xf>
    <xf numFmtId="0" fontId="13" fillId="0" borderId="0" xfId="52" applyFont="1" applyProtection="1">
      <alignment/>
      <protection locked="0"/>
    </xf>
    <xf numFmtId="0" fontId="6" fillId="0" borderId="0" xfId="52" applyFont="1" applyAlignment="1" applyProtection="1">
      <alignment horizontal="center"/>
      <protection locked="0"/>
    </xf>
    <xf numFmtId="0" fontId="6" fillId="0" borderId="0" xfId="52" applyFont="1" applyBorder="1" applyProtection="1">
      <alignment/>
      <protection locked="0"/>
    </xf>
    <xf numFmtId="0" fontId="6" fillId="0" borderId="0" xfId="52" applyFont="1" applyBorder="1" applyAlignment="1" applyProtection="1">
      <alignment horizontal="center" vertical="center"/>
      <protection locked="0"/>
    </xf>
    <xf numFmtId="0" fontId="6" fillId="0" borderId="0" xfId="52" applyFont="1" applyAlignment="1" applyProtection="1">
      <alignment horizontal="center" vertical="center"/>
      <protection locked="0"/>
    </xf>
    <xf numFmtId="0" fontId="6" fillId="0" borderId="0" xfId="52" applyFont="1" applyFill="1" applyBorder="1" applyProtection="1">
      <alignment/>
      <protection locked="0"/>
    </xf>
    <xf numFmtId="0" fontId="6" fillId="0" borderId="0" xfId="52" applyFont="1" applyFill="1" applyProtection="1">
      <alignment/>
      <protection locked="0"/>
    </xf>
    <xf numFmtId="0" fontId="7" fillId="0" borderId="0" xfId="52" applyFont="1" applyFill="1" applyBorder="1" applyAlignment="1" applyProtection="1">
      <alignment horizontal="left" vertical="center" wrapText="1" shrinkToFit="1"/>
      <protection/>
    </xf>
    <xf numFmtId="0" fontId="3" fillId="0" borderId="0" xfId="52" applyFont="1" applyFill="1" applyBorder="1" applyAlignment="1" applyProtection="1">
      <alignment horizontal="center" vertical="center"/>
      <protection/>
    </xf>
    <xf numFmtId="199" fontId="3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Fill="1" applyBorder="1" applyAlignment="1" applyProtection="1">
      <alignment horizontal="center" vertical="center"/>
      <protection/>
    </xf>
    <xf numFmtId="4" fontId="7" fillId="0" borderId="0" xfId="52" applyNumberFormat="1" applyFont="1" applyFill="1" applyBorder="1" applyAlignment="1" applyProtection="1">
      <alignment horizontal="center" vertical="center"/>
      <protection/>
    </xf>
    <xf numFmtId="2" fontId="7" fillId="0" borderId="0" xfId="52" applyNumberFormat="1" applyFont="1" applyFill="1" applyBorder="1" applyAlignment="1" applyProtection="1">
      <alignment horizontal="center"/>
      <protection locked="0"/>
    </xf>
    <xf numFmtId="0" fontId="6" fillId="0" borderId="0" xfId="52" applyFont="1" applyFill="1" applyBorder="1" applyAlignment="1" applyProtection="1">
      <alignment horizontal="center" vertical="center"/>
      <protection/>
    </xf>
    <xf numFmtId="4" fontId="6" fillId="0" borderId="0" xfId="52" applyNumberFormat="1" applyFont="1" applyFill="1" applyBorder="1" applyAlignment="1" applyProtection="1">
      <alignment horizontal="center" vertical="center"/>
      <protection/>
    </xf>
    <xf numFmtId="0" fontId="6" fillId="0" borderId="0" xfId="52" applyFont="1" applyFill="1" applyBorder="1" applyAlignment="1" applyProtection="1">
      <alignment horizontal="center" vertical="center" wrapText="1" shrinkToFit="1"/>
      <protection/>
    </xf>
    <xf numFmtId="4" fontId="6" fillId="0" borderId="0" xfId="52" applyNumberFormat="1" applyFont="1" applyProtection="1">
      <alignment/>
      <protection locked="0"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52" applyFont="1" applyAlignment="1" applyProtection="1">
      <alignment vertical="center" wrapText="1"/>
      <protection locked="0"/>
    </xf>
    <xf numFmtId="49" fontId="3" fillId="0" borderId="0" xfId="52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/>
    </xf>
    <xf numFmtId="4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52" applyFont="1" applyFill="1" applyBorder="1" applyAlignment="1" applyProtection="1">
      <alignment horizontal="center" vertical="center" wrapText="1" shrinkToFit="1"/>
      <protection/>
    </xf>
    <xf numFmtId="0" fontId="9" fillId="0" borderId="10" xfId="52" applyFont="1" applyFill="1" applyBorder="1" applyAlignment="1" applyProtection="1">
      <alignment horizontal="center" vertical="center" wrapText="1" shrinkToFit="1"/>
      <protection/>
    </xf>
    <xf numFmtId="0" fontId="9" fillId="0" borderId="10" xfId="52" applyFont="1" applyBorder="1" applyAlignment="1" applyProtection="1">
      <alignment vertical="center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 wrapText="1" shrinkToFit="1"/>
      <protection/>
    </xf>
    <xf numFmtId="0" fontId="6" fillId="0" borderId="10" xfId="52" applyFont="1" applyFill="1" applyBorder="1" applyAlignment="1" applyProtection="1">
      <alignment horizontal="center" vertical="center" wrapText="1" shrinkToFit="1"/>
      <protection/>
    </xf>
    <xf numFmtId="0" fontId="6" fillId="0" borderId="10" xfId="52" applyFont="1" applyBorder="1" applyAlignment="1" applyProtection="1">
      <alignment horizontal="center" vertical="center"/>
      <protection locked="0"/>
    </xf>
    <xf numFmtId="0" fontId="14" fillId="0" borderId="10" xfId="52" applyFont="1" applyFill="1" applyBorder="1" applyAlignment="1" applyProtection="1">
      <alignment vertical="center"/>
      <protection/>
    </xf>
    <xf numFmtId="0" fontId="6" fillId="0" borderId="10" xfId="52" applyFont="1" applyFill="1" applyBorder="1" applyProtection="1">
      <alignment/>
      <protection locked="0"/>
    </xf>
    <xf numFmtId="0" fontId="3" fillId="0" borderId="10" xfId="52" applyFont="1" applyFill="1" applyBorder="1" applyAlignment="1" applyProtection="1">
      <alignment horizontal="center" vertical="center" wrapText="1" shrinkToFit="1"/>
      <protection/>
    </xf>
    <xf numFmtId="0" fontId="3" fillId="0" borderId="10" xfId="52" applyFont="1" applyFill="1" applyBorder="1" applyAlignment="1" applyProtection="1">
      <alignment horizontal="left" vertical="center" wrapText="1" shrinkToFit="1"/>
      <protection/>
    </xf>
    <xf numFmtId="0" fontId="3" fillId="0" borderId="10" xfId="52" applyFont="1" applyFill="1" applyBorder="1" applyAlignment="1" applyProtection="1">
      <alignment horizontal="center" vertical="center"/>
      <protection/>
    </xf>
    <xf numFmtId="0" fontId="3" fillId="20" borderId="10" xfId="52" applyFont="1" applyFill="1" applyBorder="1" applyAlignment="1" applyProtection="1">
      <alignment horizontal="center" vertical="center"/>
      <protection/>
    </xf>
    <xf numFmtId="4" fontId="3" fillId="20" borderId="10" xfId="52" applyNumberFormat="1" applyFont="1" applyFill="1" applyBorder="1" applyAlignment="1" applyProtection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horizontal="center" vertical="center"/>
      <protection/>
    </xf>
    <xf numFmtId="0" fontId="6" fillId="0" borderId="10" xfId="52" applyFont="1" applyBorder="1" applyProtection="1">
      <alignment/>
      <protection locked="0"/>
    </xf>
    <xf numFmtId="9" fontId="3" fillId="0" borderId="10" xfId="52" applyNumberFormat="1" applyFont="1" applyFill="1" applyBorder="1" applyAlignment="1" applyProtection="1">
      <alignment horizontal="center" vertical="center"/>
      <protection/>
    </xf>
    <xf numFmtId="2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locked="0"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20" borderId="10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2" applyNumberFormat="1" applyFont="1" applyFill="1" applyBorder="1" applyAlignment="1" applyProtection="1">
      <alignment horizontal="left" vertical="center" wrapText="1" shrinkToFi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10" fontId="3" fillId="0" borderId="10" xfId="52" applyNumberFormat="1" applyFont="1" applyFill="1" applyBorder="1" applyAlignment="1" applyProtection="1">
      <alignment horizontal="center" vertical="center"/>
      <protection/>
    </xf>
    <xf numFmtId="10" fontId="3" fillId="0" borderId="10" xfId="52" applyNumberFormat="1" applyFont="1" applyFill="1" applyBorder="1" applyAlignment="1" applyProtection="1">
      <alignment horizontal="center" vertical="center"/>
      <protection locked="0"/>
    </xf>
    <xf numFmtId="0" fontId="7" fillId="0" borderId="10" xfId="52" applyFont="1" applyFill="1" applyBorder="1" applyAlignment="1" applyProtection="1">
      <alignment horizontal="left" vertical="center" wrapText="1" shrinkToFit="1"/>
      <protection/>
    </xf>
    <xf numFmtId="0" fontId="7" fillId="0" borderId="10" xfId="52" applyFont="1" applyFill="1" applyBorder="1" applyAlignment="1" applyProtection="1">
      <alignment horizontal="center" vertical="center"/>
      <protection/>
    </xf>
    <xf numFmtId="199" fontId="7" fillId="0" borderId="10" xfId="52" applyNumberFormat="1" applyFont="1" applyFill="1" applyBorder="1" applyAlignment="1" applyProtection="1">
      <alignment horizontal="center" vertical="center"/>
      <protection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/>
    </xf>
    <xf numFmtId="4" fontId="3" fillId="24" borderId="10" xfId="52" applyNumberFormat="1" applyFont="1" applyFill="1" applyBorder="1" applyAlignment="1" applyProtection="1">
      <alignment horizontal="center" vertical="center" wrapText="1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2" applyNumberFormat="1" applyFont="1" applyBorder="1" applyAlignment="1" applyProtection="1">
      <alignment horizontal="center" vertical="center" wrapText="1"/>
      <protection locked="0"/>
    </xf>
    <xf numFmtId="4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3" fillId="0" borderId="10" xfId="52" applyNumberFormat="1" applyFont="1" applyFill="1" applyBorder="1" applyAlignment="1" applyProtection="1">
      <alignment horizontal="center"/>
      <protection locked="0"/>
    </xf>
    <xf numFmtId="2" fontId="3" fillId="0" borderId="10" xfId="52" applyNumberFormat="1" applyFont="1" applyFill="1" applyBorder="1" applyAlignment="1" applyProtection="1">
      <alignment horizontal="center" vertical="center"/>
      <protection locked="0"/>
    </xf>
    <xf numFmtId="2" fontId="7" fillId="0" borderId="10" xfId="52" applyNumberFormat="1" applyFont="1" applyFill="1" applyBorder="1" applyAlignment="1" applyProtection="1">
      <alignment horizontal="center" vertical="center"/>
      <protection/>
    </xf>
    <xf numFmtId="4" fontId="7" fillId="0" borderId="10" xfId="52" applyNumberFormat="1" applyFont="1" applyFill="1" applyBorder="1" applyAlignment="1" applyProtection="1">
      <alignment horizontal="center" vertical="center"/>
      <protection/>
    </xf>
    <xf numFmtId="0" fontId="6" fillId="0" borderId="10" xfId="52" applyFont="1" applyBorder="1" applyProtection="1">
      <alignment/>
      <protection locked="0"/>
    </xf>
    <xf numFmtId="0" fontId="6" fillId="0" borderId="10" xfId="52" applyFont="1" applyFill="1" applyBorder="1" applyProtection="1">
      <alignment/>
      <protection locked="0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53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10" xfId="52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53" applyFont="1" applyFill="1" applyBorder="1" applyAlignment="1" applyProtection="1">
      <alignment horizontal="left" vertical="center" wrapText="1" shrinkToFit="1"/>
      <protection/>
    </xf>
    <xf numFmtId="49" fontId="3" fillId="0" borderId="10" xfId="53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52" applyFont="1" applyBorder="1" applyAlignment="1" applyProtection="1">
      <alignment horizontal="center"/>
      <protection locked="0"/>
    </xf>
    <xf numFmtId="0" fontId="7" fillId="0" borderId="10" xfId="52" applyFont="1" applyFill="1" applyBorder="1" applyAlignment="1" applyProtection="1">
      <alignment horizontal="center" vertical="center" wrapText="1" shrinkToFit="1"/>
      <protection/>
    </xf>
    <xf numFmtId="9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99" fontId="7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88" fontId="1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9" fillId="0" borderId="10" xfId="52" applyFont="1" applyBorder="1" applyAlignment="1" applyProtection="1">
      <alignment horizontal="center" vertical="center" wrapText="1" shrinkToFit="1"/>
      <protection/>
    </xf>
    <xf numFmtId="0" fontId="9" fillId="0" borderId="10" xfId="52" applyFont="1" applyFill="1" applyBorder="1" applyAlignment="1" applyProtection="1">
      <alignment horizontal="center" vertical="center" wrapText="1" shrinkToFit="1"/>
      <protection/>
    </xf>
    <xf numFmtId="0" fontId="14" fillId="0" borderId="13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15" fillId="0" borderId="0" xfId="52" applyFont="1" applyAlignment="1" applyProtection="1">
      <alignment horizontal="right" vertical="center" wrapText="1"/>
      <protection locked="0"/>
    </xf>
    <xf numFmtId="0" fontId="34" fillId="0" borderId="0" xfId="0" applyFont="1" applyAlignment="1">
      <alignment/>
    </xf>
    <xf numFmtId="0" fontId="12" fillId="0" borderId="0" xfId="52" applyFont="1" applyAlignment="1" applyProtection="1">
      <alignment horizontal="center" vertical="center" wrapText="1" shrinkToFit="1"/>
      <protection/>
    </xf>
    <xf numFmtId="0" fontId="14" fillId="0" borderId="14" xfId="52" applyFont="1" applyFill="1" applyBorder="1" applyAlignment="1" applyProtection="1">
      <alignment horizontal="left" vertical="center"/>
      <protection/>
    </xf>
    <xf numFmtId="0" fontId="14" fillId="0" borderId="13" xfId="52" applyFont="1" applyFill="1" applyBorder="1" applyAlignment="1" applyProtection="1">
      <alignment horizontal="left" vertical="center"/>
      <protection/>
    </xf>
    <xf numFmtId="0" fontId="14" fillId="0" borderId="10" xfId="52" applyFont="1" applyFill="1" applyBorder="1" applyAlignment="1" applyProtection="1">
      <alignment horizontal="left" vertical="center"/>
      <protection/>
    </xf>
    <xf numFmtId="0" fontId="7" fillId="0" borderId="10" xfId="52" applyFont="1" applyFill="1" applyBorder="1" applyAlignment="1" applyProtection="1">
      <alignment horizontal="left" vertical="center"/>
      <protection/>
    </xf>
    <xf numFmtId="0" fontId="9" fillId="0" borderId="10" xfId="52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 протоколу" xfId="52"/>
    <cellStyle name="Обычный_ПКС (для ширшова)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2.7109375" style="1" customWidth="1"/>
    <col min="2" max="2" width="6.140625" style="1" customWidth="1"/>
    <col min="3" max="3" width="48.140625" style="1" customWidth="1"/>
    <col min="4" max="4" width="11.421875" style="1" customWidth="1"/>
    <col min="5" max="5" width="11.8515625" style="1" customWidth="1"/>
    <col min="6" max="6" width="11.7109375" style="1" customWidth="1"/>
    <col min="7" max="7" width="11.57421875" style="1" customWidth="1"/>
    <col min="8" max="8" width="12.28125" style="1" customWidth="1"/>
    <col min="9" max="9" width="12.421875" style="1" customWidth="1"/>
    <col min="10" max="16384" width="9.140625" style="1" customWidth="1"/>
  </cols>
  <sheetData>
    <row r="1" spans="2:12" ht="32.25" customHeight="1">
      <c r="B1" s="36"/>
      <c r="C1" s="36"/>
      <c r="D1" s="36"/>
      <c r="E1" s="129" t="s">
        <v>169</v>
      </c>
      <c r="F1" s="129"/>
      <c r="G1" s="129"/>
      <c r="H1" s="130"/>
      <c r="I1" s="130"/>
      <c r="J1" s="2"/>
      <c r="K1" s="2"/>
      <c r="L1" s="2"/>
    </row>
    <row r="2" spans="2:12" ht="14.25" customHeight="1">
      <c r="B2" s="36"/>
      <c r="C2" s="36"/>
      <c r="D2" s="36"/>
      <c r="E2" s="37"/>
      <c r="F2" s="37"/>
      <c r="G2" s="37"/>
      <c r="H2" s="37"/>
      <c r="I2" s="37"/>
      <c r="J2" s="2"/>
      <c r="K2" s="2"/>
      <c r="L2" s="2"/>
    </row>
    <row r="3" spans="2:9" ht="12.75">
      <c r="B3" s="36"/>
      <c r="C3" s="36"/>
      <c r="D3" s="36"/>
      <c r="E3" s="36"/>
      <c r="F3" s="36"/>
      <c r="G3" s="36"/>
      <c r="H3" s="36"/>
      <c r="I3" s="36"/>
    </row>
    <row r="4" spans="2:12" ht="31.5" customHeight="1">
      <c r="B4" s="131" t="s">
        <v>115</v>
      </c>
      <c r="C4" s="131"/>
      <c r="D4" s="131"/>
      <c r="E4" s="131"/>
      <c r="F4" s="131"/>
      <c r="G4" s="131"/>
      <c r="H4" s="132"/>
      <c r="I4" s="132"/>
      <c r="J4" s="3"/>
      <c r="K4" s="3"/>
      <c r="L4" s="3"/>
    </row>
    <row r="5" spans="2:9" ht="21" customHeight="1">
      <c r="B5" s="36"/>
      <c r="C5" s="36"/>
      <c r="D5" s="36"/>
      <c r="E5" s="36"/>
      <c r="F5" s="36"/>
      <c r="G5" s="36"/>
      <c r="H5" s="36"/>
      <c r="I5" s="36"/>
    </row>
    <row r="6" spans="2:9" ht="3.75" customHeight="1" hidden="1" thickBot="1">
      <c r="B6" s="36"/>
      <c r="C6" s="36"/>
      <c r="D6" s="36"/>
      <c r="E6" s="36"/>
      <c r="F6" s="36"/>
      <c r="G6" s="36"/>
      <c r="H6" s="36"/>
      <c r="I6" s="36"/>
    </row>
    <row r="7" spans="2:9" s="4" customFormat="1" ht="24.75" customHeight="1">
      <c r="B7" s="45" t="s">
        <v>2</v>
      </c>
      <c r="C7" s="45" t="s">
        <v>9</v>
      </c>
      <c r="D7" s="45" t="s">
        <v>3</v>
      </c>
      <c r="E7" s="45" t="s">
        <v>107</v>
      </c>
      <c r="F7" s="45" t="s">
        <v>108</v>
      </c>
      <c r="G7" s="45" t="s">
        <v>109</v>
      </c>
      <c r="H7" s="45" t="s">
        <v>113</v>
      </c>
      <c r="I7" s="45" t="s">
        <v>114</v>
      </c>
    </row>
    <row r="8" spans="2:9" ht="15">
      <c r="B8" s="42" t="s">
        <v>10</v>
      </c>
      <c r="C8" s="43" t="s">
        <v>11</v>
      </c>
      <c r="D8" s="42" t="s">
        <v>0</v>
      </c>
      <c r="E8" s="44">
        <v>3.7</v>
      </c>
      <c r="F8" s="44">
        <v>4</v>
      </c>
      <c r="G8" s="44">
        <v>4</v>
      </c>
      <c r="H8" s="44">
        <v>4</v>
      </c>
      <c r="I8" s="44">
        <v>4</v>
      </c>
    </row>
    <row r="9" spans="2:9" ht="15">
      <c r="B9" s="42" t="s">
        <v>12</v>
      </c>
      <c r="C9" s="43" t="s">
        <v>19</v>
      </c>
      <c r="D9" s="42" t="s">
        <v>1</v>
      </c>
      <c r="E9" s="124">
        <f>'Приложение 3'!J25</f>
        <v>53369.6</v>
      </c>
      <c r="F9" s="124">
        <f>'Приложение 3'!K25</f>
        <v>53369.6</v>
      </c>
      <c r="G9" s="124">
        <f>'Приложение 3'!L25</f>
        <v>53369.6</v>
      </c>
      <c r="H9" s="124">
        <f>'Приложение 3'!M25</f>
        <v>53369.6</v>
      </c>
      <c r="I9" s="124">
        <f>'Приложение 3'!N25</f>
        <v>53369.6</v>
      </c>
    </row>
    <row r="10" spans="2:9" ht="15.75" customHeight="1">
      <c r="B10" s="42" t="s">
        <v>13</v>
      </c>
      <c r="C10" s="43" t="s">
        <v>20</v>
      </c>
      <c r="D10" s="42" t="s">
        <v>14</v>
      </c>
      <c r="E10" s="125">
        <f>'Приложение 3'!J71</f>
        <v>1327029.6154647053</v>
      </c>
      <c r="F10" s="125">
        <f>'Приложение 3'!K71</f>
        <v>1361929.547815796</v>
      </c>
      <c r="G10" s="125">
        <f>'Приложение 3'!L71</f>
        <v>1388957.781892895</v>
      </c>
      <c r="H10" s="125">
        <f>'Приложение 3'!M71</f>
        <v>1416988.485767165</v>
      </c>
      <c r="I10" s="125">
        <f>'Приложение 3'!N71</f>
        <v>1446061.0660263135</v>
      </c>
    </row>
    <row r="11" spans="2:9" ht="12.75">
      <c r="B11" s="36"/>
      <c r="C11" s="36"/>
      <c r="D11" s="36"/>
      <c r="E11" s="36"/>
      <c r="F11" s="36"/>
      <c r="G11" s="36"/>
      <c r="H11" s="36"/>
      <c r="I11" s="36"/>
    </row>
    <row r="12" spans="2:9" ht="12.75">
      <c r="B12" s="36"/>
      <c r="C12" s="36"/>
      <c r="D12" s="36"/>
      <c r="E12" s="36"/>
      <c r="F12" s="36"/>
      <c r="G12" s="36"/>
      <c r="H12" s="36"/>
      <c r="I12" s="36"/>
    </row>
    <row r="13" spans="2:9" ht="12.75">
      <c r="B13" s="36"/>
      <c r="C13" s="36"/>
      <c r="D13" s="36"/>
      <c r="E13" s="36"/>
      <c r="F13" s="36"/>
      <c r="G13" s="36"/>
      <c r="H13" s="36"/>
      <c r="I13" s="36"/>
    </row>
    <row r="14" spans="2:9" ht="12.75">
      <c r="B14" s="36"/>
      <c r="C14" s="36"/>
      <c r="D14" s="36"/>
      <c r="E14" s="36"/>
      <c r="F14" s="36"/>
      <c r="G14" s="36"/>
      <c r="H14" s="36"/>
      <c r="I14" s="36"/>
    </row>
    <row r="15" spans="2:9" ht="12.75">
      <c r="B15" s="36"/>
      <c r="C15" s="36"/>
      <c r="D15" s="36"/>
      <c r="E15" s="36"/>
      <c r="F15" s="36"/>
      <c r="G15" s="36"/>
      <c r="H15" s="36"/>
      <c r="I15" s="36"/>
    </row>
    <row r="16" spans="2:9" ht="12.75">
      <c r="B16" s="36"/>
      <c r="C16" s="36"/>
      <c r="D16" s="36"/>
      <c r="E16" s="36"/>
      <c r="F16" s="36"/>
      <c r="G16" s="36"/>
      <c r="H16" s="36"/>
      <c r="I16" s="36"/>
    </row>
  </sheetData>
  <sheetProtection/>
  <mergeCells count="2">
    <mergeCell ref="E1:I1"/>
    <mergeCell ref="B4:I4"/>
  </mergeCells>
  <printOptions/>
  <pageMargins left="0.75" right="0.3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25"/>
  <sheetViews>
    <sheetView workbookViewId="0" topLeftCell="B1">
      <selection activeCell="K1" sqref="K1:L3"/>
    </sheetView>
  </sheetViews>
  <sheetFormatPr defaultColWidth="9.140625" defaultRowHeight="12.75"/>
  <cols>
    <col min="1" max="1" width="6.57421875" style="0" hidden="1" customWidth="1"/>
    <col min="2" max="2" width="4.00390625" style="0" customWidth="1"/>
    <col min="3" max="3" width="7.28125" style="0" customWidth="1"/>
    <col min="4" max="4" width="22.57421875" style="0" customWidth="1"/>
    <col min="5" max="5" width="11.7109375" style="0" customWidth="1"/>
    <col min="6" max="6" width="17.8515625" style="0" customWidth="1"/>
    <col min="7" max="7" width="18.28125" style="0" customWidth="1"/>
    <col min="8" max="8" width="17.00390625" style="0" customWidth="1"/>
    <col min="9" max="9" width="29.8515625" style="0" customWidth="1"/>
    <col min="10" max="10" width="29.57421875" style="0" customWidth="1"/>
    <col min="11" max="11" width="28.00390625" style="0" customWidth="1"/>
    <col min="12" max="12" width="29.28125" style="0" customWidth="1"/>
  </cols>
  <sheetData>
    <row r="1" spans="1:154" ht="15.75" customHeight="1">
      <c r="A1" s="5"/>
      <c r="B1" s="5"/>
      <c r="C1" s="5"/>
      <c r="D1" s="5"/>
      <c r="E1" s="5"/>
      <c r="F1" s="5"/>
      <c r="G1" s="5"/>
      <c r="H1" s="5"/>
      <c r="K1" s="129" t="s">
        <v>170</v>
      </c>
      <c r="L1" s="12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ht="15.75">
      <c r="A2" s="5"/>
      <c r="B2" s="5"/>
      <c r="C2" s="5"/>
      <c r="D2" s="5"/>
      <c r="E2" s="5"/>
      <c r="F2" s="5"/>
      <c r="G2" s="5"/>
      <c r="H2" s="5"/>
      <c r="K2" s="129"/>
      <c r="L2" s="12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</row>
    <row r="3" spans="1:154" ht="11.25" customHeight="1">
      <c r="A3" s="5"/>
      <c r="B3" s="5"/>
      <c r="C3" s="5"/>
      <c r="D3" s="5"/>
      <c r="E3" s="5"/>
      <c r="F3" s="5"/>
      <c r="G3" s="5"/>
      <c r="H3" s="5"/>
      <c r="K3" s="129"/>
      <c r="L3" s="12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</row>
    <row r="4" ht="6.75" customHeight="1" hidden="1"/>
    <row r="5" spans="3:15" ht="12.75" customHeight="1">
      <c r="C5" s="136" t="s">
        <v>116</v>
      </c>
      <c r="D5" s="136"/>
      <c r="E5" s="136"/>
      <c r="F5" s="136"/>
      <c r="G5" s="136"/>
      <c r="H5" s="136"/>
      <c r="I5" s="136"/>
      <c r="J5" s="136"/>
      <c r="K5" s="136"/>
      <c r="L5" s="136"/>
      <c r="M5" s="6"/>
      <c r="N5" s="6"/>
      <c r="O5" s="6"/>
    </row>
    <row r="6" spans="3:15" ht="16.5" customHeight="1"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6"/>
      <c r="N6" s="6"/>
      <c r="O6" s="6"/>
    </row>
    <row r="7" spans="3:15" ht="12.75"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6"/>
      <c r="N7" s="6"/>
      <c r="O7" s="6"/>
    </row>
    <row r="8" spans="3:15" ht="12.75"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6"/>
      <c r="N8" s="6"/>
      <c r="O8" s="6"/>
    </row>
    <row r="9" spans="11:12" ht="0.75" customHeight="1">
      <c r="K9" s="46"/>
      <c r="L9" s="47"/>
    </row>
    <row r="10" spans="3:12" ht="46.5" customHeight="1" hidden="1">
      <c r="C10" s="135" t="s">
        <v>2</v>
      </c>
      <c r="D10" s="135" t="s">
        <v>29</v>
      </c>
      <c r="E10" s="135" t="s">
        <v>23</v>
      </c>
      <c r="F10" s="135" t="s">
        <v>24</v>
      </c>
      <c r="G10" s="135" t="s">
        <v>25</v>
      </c>
      <c r="H10" s="135" t="s">
        <v>26</v>
      </c>
      <c r="I10" s="135" t="s">
        <v>117</v>
      </c>
      <c r="J10" s="135" t="s">
        <v>111</v>
      </c>
      <c r="K10" s="135"/>
      <c r="L10" s="135"/>
    </row>
    <row r="11" spans="3:12" ht="92.25" customHeight="1">
      <c r="C11" s="135"/>
      <c r="D11" s="135"/>
      <c r="E11" s="135"/>
      <c r="F11" s="135"/>
      <c r="G11" s="135"/>
      <c r="H11" s="135"/>
      <c r="I11" s="135"/>
      <c r="J11" s="135"/>
      <c r="K11" s="48" t="s">
        <v>118</v>
      </c>
      <c r="L11" s="48" t="s">
        <v>112</v>
      </c>
    </row>
    <row r="12" spans="3:12" ht="15">
      <c r="C12" s="135"/>
      <c r="D12" s="135"/>
      <c r="E12" s="135"/>
      <c r="F12" s="48" t="s">
        <v>119</v>
      </c>
      <c r="G12" s="48" t="s">
        <v>0</v>
      </c>
      <c r="H12" s="48" t="s">
        <v>0</v>
      </c>
      <c r="I12" s="48" t="s">
        <v>0</v>
      </c>
      <c r="J12" s="49"/>
      <c r="K12" s="49"/>
      <c r="L12" s="49"/>
    </row>
    <row r="13" spans="3:12" ht="15">
      <c r="C13" s="48">
        <v>1</v>
      </c>
      <c r="D13" s="48">
        <v>2</v>
      </c>
      <c r="E13" s="48">
        <v>3</v>
      </c>
      <c r="F13" s="48">
        <v>4</v>
      </c>
      <c r="G13" s="48">
        <v>5</v>
      </c>
      <c r="H13" s="48">
        <v>6</v>
      </c>
      <c r="I13" s="48">
        <v>7</v>
      </c>
      <c r="J13" s="48">
        <v>8</v>
      </c>
      <c r="K13" s="48">
        <v>9</v>
      </c>
      <c r="L13" s="48">
        <v>10</v>
      </c>
    </row>
    <row r="14" spans="3:12" ht="15">
      <c r="C14" s="133" t="s">
        <v>10</v>
      </c>
      <c r="D14" s="135" t="s">
        <v>120</v>
      </c>
      <c r="E14" s="34">
        <v>2018</v>
      </c>
      <c r="F14" s="41">
        <f>'Приложение 3'!J54/1000</f>
        <v>1503.1425183946894</v>
      </c>
      <c r="G14" s="35">
        <v>3</v>
      </c>
      <c r="H14" s="34">
        <v>0.75</v>
      </c>
      <c r="I14" s="34">
        <v>7.63</v>
      </c>
      <c r="J14" s="126">
        <v>9.356</v>
      </c>
      <c r="K14" s="126">
        <v>2.195</v>
      </c>
      <c r="L14" s="127">
        <v>1</v>
      </c>
    </row>
    <row r="15" spans="3:20" ht="15">
      <c r="C15" s="133"/>
      <c r="D15" s="135"/>
      <c r="E15" s="34">
        <v>2019</v>
      </c>
      <c r="F15" s="34" t="s">
        <v>27</v>
      </c>
      <c r="G15" s="35">
        <v>3</v>
      </c>
      <c r="H15" s="34">
        <v>0.75</v>
      </c>
      <c r="I15" s="34">
        <v>7.63</v>
      </c>
      <c r="J15" s="126">
        <v>8.518</v>
      </c>
      <c r="K15" s="126">
        <v>2.127</v>
      </c>
      <c r="L15" s="127">
        <v>1</v>
      </c>
      <c r="M15" s="8"/>
      <c r="N15" s="8"/>
      <c r="O15" s="8"/>
      <c r="P15" s="8"/>
      <c r="Q15" s="8"/>
      <c r="R15" s="8"/>
      <c r="S15" s="8"/>
      <c r="T15" s="9"/>
    </row>
    <row r="16" spans="3:20" ht="15">
      <c r="C16" s="133"/>
      <c r="D16" s="135"/>
      <c r="E16" s="34">
        <v>2020</v>
      </c>
      <c r="F16" s="34" t="s">
        <v>27</v>
      </c>
      <c r="G16" s="35">
        <v>3</v>
      </c>
      <c r="H16" s="34">
        <v>0.75</v>
      </c>
      <c r="I16" s="34">
        <v>7.63</v>
      </c>
      <c r="J16" s="126">
        <v>7.755</v>
      </c>
      <c r="K16" s="126">
        <v>2.062</v>
      </c>
      <c r="L16" s="127">
        <v>1</v>
      </c>
      <c r="M16" s="8"/>
      <c r="N16" s="8"/>
      <c r="O16" s="8"/>
      <c r="P16" s="8"/>
      <c r="Q16" s="8"/>
      <c r="R16" s="8"/>
      <c r="S16" s="8"/>
      <c r="T16" s="9"/>
    </row>
    <row r="17" spans="3:20" ht="15">
      <c r="C17" s="134"/>
      <c r="D17" s="134"/>
      <c r="E17" s="34">
        <v>2021</v>
      </c>
      <c r="F17" s="34" t="s">
        <v>27</v>
      </c>
      <c r="G17" s="35">
        <v>3</v>
      </c>
      <c r="H17" s="34">
        <v>0.75</v>
      </c>
      <c r="I17" s="34">
        <v>7.63</v>
      </c>
      <c r="J17" s="127">
        <v>7.06</v>
      </c>
      <c r="K17" s="126">
        <v>1.999</v>
      </c>
      <c r="L17" s="127">
        <v>1</v>
      </c>
      <c r="M17" s="8"/>
      <c r="N17" s="8"/>
      <c r="O17" s="8"/>
      <c r="P17" s="8"/>
      <c r="Q17" s="8"/>
      <c r="R17" s="8"/>
      <c r="S17" s="8"/>
      <c r="T17" s="9"/>
    </row>
    <row r="18" spans="3:20" ht="15">
      <c r="C18" s="134"/>
      <c r="D18" s="134"/>
      <c r="E18" s="34">
        <v>2022</v>
      </c>
      <c r="F18" s="34" t="s">
        <v>27</v>
      </c>
      <c r="G18" s="35">
        <v>3</v>
      </c>
      <c r="H18" s="34">
        <v>0.75</v>
      </c>
      <c r="I18" s="34">
        <v>7.63</v>
      </c>
      <c r="J18" s="126">
        <v>6.428</v>
      </c>
      <c r="K18" s="126">
        <v>1.938</v>
      </c>
      <c r="L18" s="127">
        <v>1</v>
      </c>
      <c r="M18" s="8"/>
      <c r="N18" s="8"/>
      <c r="O18" s="8"/>
      <c r="P18" s="8"/>
      <c r="Q18" s="8"/>
      <c r="R18" s="8"/>
      <c r="S18" s="8"/>
      <c r="T18" s="9"/>
    </row>
    <row r="19" spans="10:12" ht="12.75">
      <c r="J19" s="40"/>
      <c r="K19" s="40"/>
      <c r="L19" s="40"/>
    </row>
    <row r="20" spans="10:12" ht="12.75">
      <c r="J20" s="40"/>
      <c r="K20" s="40"/>
      <c r="L20" s="40"/>
    </row>
    <row r="21" spans="10:12" ht="12.75">
      <c r="J21" s="40"/>
      <c r="K21" s="40"/>
      <c r="L21" s="40"/>
    </row>
    <row r="22" spans="10:12" ht="12.75">
      <c r="J22" s="40"/>
      <c r="K22" s="40"/>
      <c r="L22" s="40"/>
    </row>
    <row r="25" spans="6:13" ht="15.75">
      <c r="F25" s="11"/>
      <c r="L25" s="9"/>
      <c r="M25" s="9"/>
    </row>
  </sheetData>
  <sheetProtection/>
  <mergeCells count="13">
    <mergeCell ref="I10:I11"/>
    <mergeCell ref="H10:H11"/>
    <mergeCell ref="G10:G11"/>
    <mergeCell ref="C14:C18"/>
    <mergeCell ref="D14:D18"/>
    <mergeCell ref="K1:L3"/>
    <mergeCell ref="C5:L8"/>
    <mergeCell ref="J10:J11"/>
    <mergeCell ref="C10:C12"/>
    <mergeCell ref="D10:D12"/>
    <mergeCell ref="E10:E12"/>
    <mergeCell ref="F10:F11"/>
    <mergeCell ref="K10:L10"/>
  </mergeCells>
  <printOptions/>
  <pageMargins left="0.62" right="0.29" top="1" bottom="1" header="0.5" footer="0.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8"/>
  <sheetViews>
    <sheetView zoomScale="85" zoomScaleNormal="85" zoomScalePageLayoutView="0" workbookViewId="0" topLeftCell="A1">
      <pane ySplit="10" topLeftCell="BM11" activePane="bottomLeft" state="frozen"/>
      <selection pane="topLeft" activeCell="A1" sqref="A1"/>
      <selection pane="bottomLeft" activeCell="M35" sqref="M35:M36"/>
    </sheetView>
  </sheetViews>
  <sheetFormatPr defaultColWidth="4.57421875" defaultRowHeight="12.75"/>
  <cols>
    <col min="1" max="1" width="2.7109375" style="14" customWidth="1"/>
    <col min="2" max="2" width="8.421875" style="14" customWidth="1"/>
    <col min="3" max="3" width="72.8515625" style="14" customWidth="1"/>
    <col min="4" max="4" width="14.7109375" style="18" customWidth="1"/>
    <col min="5" max="5" width="11.7109375" style="18" hidden="1" customWidth="1"/>
    <col min="6" max="6" width="13.57421875" style="14" hidden="1" customWidth="1"/>
    <col min="7" max="7" width="13.7109375" style="14" hidden="1" customWidth="1"/>
    <col min="8" max="8" width="15.00390625" style="14" hidden="1" customWidth="1"/>
    <col min="9" max="9" width="15.28125" style="14" hidden="1" customWidth="1"/>
    <col min="10" max="12" width="19.57421875" style="14" customWidth="1"/>
    <col min="13" max="13" width="16.7109375" style="14" customWidth="1"/>
    <col min="14" max="14" width="18.28125" style="14" customWidth="1"/>
    <col min="15" max="242" width="9.140625" style="14" customWidth="1"/>
    <col min="243" max="16384" width="4.57421875" style="14" customWidth="1"/>
  </cols>
  <sheetData>
    <row r="1" spans="5:14" ht="12.75" customHeight="1">
      <c r="E1" s="38"/>
      <c r="F1" s="38"/>
      <c r="G1" s="38"/>
      <c r="H1" s="38"/>
      <c r="I1" s="38"/>
      <c r="J1" s="38"/>
      <c r="K1" s="143" t="s">
        <v>167</v>
      </c>
      <c r="L1" s="143"/>
      <c r="M1" s="144"/>
      <c r="N1" s="144"/>
    </row>
    <row r="2" spans="4:14" ht="12.75" customHeight="1">
      <c r="D2" s="38"/>
      <c r="E2" s="38"/>
      <c r="F2" s="38"/>
      <c r="G2" s="38"/>
      <c r="H2" s="38"/>
      <c r="I2" s="38"/>
      <c r="J2" s="38"/>
      <c r="K2" s="143"/>
      <c r="L2" s="143"/>
      <c r="M2" s="144"/>
      <c r="N2" s="144"/>
    </row>
    <row r="3" spans="4:14" ht="12.75" customHeight="1">
      <c r="D3" s="38"/>
      <c r="E3" s="38"/>
      <c r="F3" s="38"/>
      <c r="G3" s="38"/>
      <c r="H3" s="38"/>
      <c r="I3" s="38"/>
      <c r="J3" s="38"/>
      <c r="K3" s="143"/>
      <c r="L3" s="143"/>
      <c r="M3" s="144"/>
      <c r="N3" s="144"/>
    </row>
    <row r="4" spans="2:7" ht="12.75" customHeight="1">
      <c r="B4" s="15"/>
      <c r="C4" s="15"/>
      <c r="D4" s="16"/>
      <c r="E4" s="16"/>
      <c r="F4" s="15"/>
      <c r="G4" s="15"/>
    </row>
    <row r="5" spans="2:14" s="17" customFormat="1" ht="46.5" customHeight="1">
      <c r="B5" s="145" t="s">
        <v>166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32"/>
      <c r="N5" s="132"/>
    </row>
    <row r="7" spans="2:14" ht="15" customHeight="1">
      <c r="B7" s="139" t="s">
        <v>31</v>
      </c>
      <c r="C7" s="139" t="s">
        <v>32</v>
      </c>
      <c r="D7" s="140" t="s">
        <v>33</v>
      </c>
      <c r="E7" s="140" t="s">
        <v>34</v>
      </c>
      <c r="F7" s="140"/>
      <c r="G7" s="150" t="s">
        <v>22</v>
      </c>
      <c r="H7" s="150"/>
      <c r="I7" s="53" t="s">
        <v>28</v>
      </c>
      <c r="J7" s="138" t="s">
        <v>107</v>
      </c>
      <c r="K7" s="138" t="s">
        <v>108</v>
      </c>
      <c r="L7" s="138" t="s">
        <v>109</v>
      </c>
      <c r="M7" s="138" t="s">
        <v>113</v>
      </c>
      <c r="N7" s="138" t="s">
        <v>114</v>
      </c>
    </row>
    <row r="8" spans="2:14" ht="15" customHeight="1">
      <c r="B8" s="139"/>
      <c r="C8" s="139"/>
      <c r="D8" s="140"/>
      <c r="E8" s="140"/>
      <c r="F8" s="140"/>
      <c r="G8" s="150"/>
      <c r="H8" s="150"/>
      <c r="I8" s="53"/>
      <c r="J8" s="138"/>
      <c r="K8" s="138"/>
      <c r="L8" s="138"/>
      <c r="M8" s="138"/>
      <c r="N8" s="138"/>
    </row>
    <row r="9" spans="2:16" ht="57.75" customHeight="1">
      <c r="B9" s="139"/>
      <c r="C9" s="139"/>
      <c r="D9" s="140"/>
      <c r="E9" s="52" t="s">
        <v>35</v>
      </c>
      <c r="F9" s="52" t="s">
        <v>36</v>
      </c>
      <c r="G9" s="54" t="s">
        <v>37</v>
      </c>
      <c r="H9" s="54" t="s">
        <v>38</v>
      </c>
      <c r="I9" s="54" t="s">
        <v>39</v>
      </c>
      <c r="J9" s="138"/>
      <c r="K9" s="138"/>
      <c r="L9" s="138"/>
      <c r="M9" s="138"/>
      <c r="N9" s="138"/>
      <c r="O9" s="19"/>
      <c r="P9" s="19"/>
    </row>
    <row r="10" spans="2:16" s="21" customFormat="1" ht="13.5" customHeight="1">
      <c r="B10" s="55">
        <v>1</v>
      </c>
      <c r="C10" s="55">
        <v>2</v>
      </c>
      <c r="D10" s="56">
        <v>3</v>
      </c>
      <c r="E10" s="56"/>
      <c r="F10" s="56">
        <v>6</v>
      </c>
      <c r="G10" s="56">
        <v>8</v>
      </c>
      <c r="H10" s="56">
        <v>9</v>
      </c>
      <c r="I10" s="57">
        <v>10</v>
      </c>
      <c r="J10" s="57">
        <v>4</v>
      </c>
      <c r="K10" s="57">
        <v>5</v>
      </c>
      <c r="L10" s="57">
        <v>6</v>
      </c>
      <c r="M10" s="57">
        <v>7</v>
      </c>
      <c r="N10" s="57">
        <v>8</v>
      </c>
      <c r="O10" s="20"/>
      <c r="P10" s="20"/>
    </row>
    <row r="11" spans="2:16" s="23" customFormat="1" ht="14.25" customHeight="1" hidden="1" thickBot="1">
      <c r="B11" s="58" t="s">
        <v>40</v>
      </c>
      <c r="C11" s="58"/>
      <c r="D11" s="58"/>
      <c r="E11" s="58"/>
      <c r="F11" s="58"/>
      <c r="G11" s="58"/>
      <c r="H11" s="59"/>
      <c r="I11" s="59"/>
      <c r="J11" s="59"/>
      <c r="K11" s="59"/>
      <c r="L11" s="59"/>
      <c r="M11" s="22"/>
      <c r="N11" s="22"/>
      <c r="O11" s="22"/>
      <c r="P11" s="22"/>
    </row>
    <row r="12" spans="2:16" ht="15" customHeight="1" hidden="1">
      <c r="B12" s="60">
        <v>1</v>
      </c>
      <c r="C12" s="61" t="s">
        <v>41</v>
      </c>
      <c r="D12" s="62" t="s">
        <v>4</v>
      </c>
      <c r="E12" s="63"/>
      <c r="F12" s="64" t="e">
        <f>F54</f>
        <v>#REF!</v>
      </c>
      <c r="G12" s="64" t="e">
        <f>G54</f>
        <v>#REF!</v>
      </c>
      <c r="H12" s="65" t="e">
        <f>H54</f>
        <v>#REF!</v>
      </c>
      <c r="I12" s="65" t="e">
        <f>I54</f>
        <v>#REF!</v>
      </c>
      <c r="J12" s="65">
        <f>J54</f>
        <v>1503142.5183946895</v>
      </c>
      <c r="K12" s="66"/>
      <c r="L12" s="66"/>
      <c r="M12" s="19"/>
      <c r="N12" s="19"/>
      <c r="O12" s="19"/>
      <c r="P12" s="19"/>
    </row>
    <row r="13" spans="2:16" ht="30" customHeight="1">
      <c r="B13" s="60" t="s">
        <v>10</v>
      </c>
      <c r="C13" s="61" t="s">
        <v>42</v>
      </c>
      <c r="D13" s="62" t="s">
        <v>0</v>
      </c>
      <c r="E13" s="62" t="s">
        <v>43</v>
      </c>
      <c r="F13" s="67">
        <v>0.01</v>
      </c>
      <c r="G13" s="67" t="s">
        <v>43</v>
      </c>
      <c r="H13" s="67" t="s">
        <v>43</v>
      </c>
      <c r="I13" s="67">
        <v>0.03</v>
      </c>
      <c r="J13" s="113">
        <v>0.03</v>
      </c>
      <c r="K13" s="113">
        <v>0.03</v>
      </c>
      <c r="L13" s="113">
        <v>0.03</v>
      </c>
      <c r="M13" s="113">
        <v>0.03</v>
      </c>
      <c r="N13" s="113">
        <v>0.03</v>
      </c>
      <c r="O13" s="19"/>
      <c r="P13" s="19"/>
    </row>
    <row r="14" spans="2:16" ht="31.5">
      <c r="B14" s="60" t="s">
        <v>12</v>
      </c>
      <c r="C14" s="61" t="s">
        <v>44</v>
      </c>
      <c r="D14" s="62" t="s">
        <v>45</v>
      </c>
      <c r="E14" s="62" t="s">
        <v>43</v>
      </c>
      <c r="F14" s="68">
        <v>0.75</v>
      </c>
      <c r="G14" s="65" t="s">
        <v>43</v>
      </c>
      <c r="H14" s="65" t="s">
        <v>43</v>
      </c>
      <c r="I14" s="65">
        <v>0.75</v>
      </c>
      <c r="J14" s="114">
        <v>0.75</v>
      </c>
      <c r="K14" s="114">
        <v>0.75</v>
      </c>
      <c r="L14" s="114">
        <v>0.75</v>
      </c>
      <c r="M14" s="114">
        <v>0.75</v>
      </c>
      <c r="N14" s="114">
        <v>0.75</v>
      </c>
      <c r="O14" s="19"/>
      <c r="P14" s="19"/>
    </row>
    <row r="15" spans="2:16" ht="47.25" hidden="1">
      <c r="B15" s="60">
        <v>4</v>
      </c>
      <c r="C15" s="61" t="s">
        <v>46</v>
      </c>
      <c r="D15" s="62" t="s">
        <v>0</v>
      </c>
      <c r="E15" s="62"/>
      <c r="F15" s="65" t="s">
        <v>47</v>
      </c>
      <c r="G15" s="65" t="s">
        <v>47</v>
      </c>
      <c r="H15" s="65" t="s">
        <v>47</v>
      </c>
      <c r="I15" s="65" t="s">
        <v>47</v>
      </c>
      <c r="J15" s="65"/>
      <c r="K15" s="69"/>
      <c r="L15" s="69"/>
      <c r="M15" s="93"/>
      <c r="N15" s="93"/>
      <c r="O15" s="19"/>
      <c r="P15" s="19"/>
    </row>
    <row r="16" spans="2:16" ht="31.5" hidden="1">
      <c r="B16" s="60"/>
      <c r="C16" s="61" t="s">
        <v>48</v>
      </c>
      <c r="D16" s="62" t="s">
        <v>0</v>
      </c>
      <c r="E16" s="62"/>
      <c r="F16" s="65" t="s">
        <v>49</v>
      </c>
      <c r="G16" s="65" t="s">
        <v>49</v>
      </c>
      <c r="H16" s="65" t="s">
        <v>49</v>
      </c>
      <c r="I16" s="59"/>
      <c r="J16" s="70"/>
      <c r="K16" s="69"/>
      <c r="L16" s="69"/>
      <c r="M16" s="93"/>
      <c r="N16" s="93"/>
      <c r="O16" s="19"/>
      <c r="P16" s="19"/>
    </row>
    <row r="17" spans="2:16" ht="31.5" hidden="1">
      <c r="B17" s="60"/>
      <c r="C17" s="61" t="s">
        <v>50</v>
      </c>
      <c r="D17" s="62" t="s">
        <v>0</v>
      </c>
      <c r="E17" s="62"/>
      <c r="F17" s="71" t="s">
        <v>51</v>
      </c>
      <c r="G17" s="71" t="s">
        <v>43</v>
      </c>
      <c r="H17" s="71" t="s">
        <v>51</v>
      </c>
      <c r="I17" s="59"/>
      <c r="J17" s="70"/>
      <c r="K17" s="69"/>
      <c r="L17" s="69"/>
      <c r="M17" s="93"/>
      <c r="N17" s="93"/>
      <c r="O17" s="19"/>
      <c r="P17" s="19"/>
    </row>
    <row r="18" spans="2:16" ht="18.75" customHeight="1" hidden="1">
      <c r="B18" s="60">
        <v>5</v>
      </c>
      <c r="C18" s="61" t="s">
        <v>52</v>
      </c>
      <c r="D18" s="62" t="s">
        <v>53</v>
      </c>
      <c r="E18" s="62"/>
      <c r="F18" s="68">
        <v>5.3386</v>
      </c>
      <c r="G18" s="72">
        <v>5.338</v>
      </c>
      <c r="H18" s="72">
        <v>5.13997</v>
      </c>
      <c r="I18" s="73">
        <v>5.338</v>
      </c>
      <c r="J18" s="73"/>
      <c r="K18" s="69"/>
      <c r="L18" s="69"/>
      <c r="M18" s="93"/>
      <c r="N18" s="93"/>
      <c r="O18" s="19"/>
      <c r="P18" s="19"/>
    </row>
    <row r="19" spans="2:16" ht="15" customHeight="1" hidden="1" thickBot="1">
      <c r="B19" s="60">
        <v>6</v>
      </c>
      <c r="C19" s="61" t="s">
        <v>54</v>
      </c>
      <c r="D19" s="62"/>
      <c r="E19" s="62"/>
      <c r="F19" s="65" t="s">
        <v>47</v>
      </c>
      <c r="G19" s="65" t="s">
        <v>47</v>
      </c>
      <c r="H19" s="65" t="s">
        <v>47</v>
      </c>
      <c r="I19" s="65" t="s">
        <v>47</v>
      </c>
      <c r="J19" s="65"/>
      <c r="K19" s="69"/>
      <c r="L19" s="69"/>
      <c r="M19" s="93"/>
      <c r="N19" s="93"/>
      <c r="O19" s="19"/>
      <c r="P19" s="19"/>
    </row>
    <row r="20" spans="2:16" ht="30" customHeight="1" hidden="1">
      <c r="B20" s="60" t="s">
        <v>55</v>
      </c>
      <c r="C20" s="61" t="s">
        <v>56</v>
      </c>
      <c r="D20" s="62" t="s">
        <v>45</v>
      </c>
      <c r="E20" s="62"/>
      <c r="F20" s="74">
        <v>0</v>
      </c>
      <c r="G20" s="74">
        <v>0</v>
      </c>
      <c r="H20" s="74">
        <v>0</v>
      </c>
      <c r="I20" s="75">
        <v>0</v>
      </c>
      <c r="J20" s="74"/>
      <c r="K20" s="69"/>
      <c r="L20" s="69"/>
      <c r="M20" s="93"/>
      <c r="N20" s="93"/>
      <c r="O20" s="19"/>
      <c r="P20" s="19"/>
    </row>
    <row r="21" spans="2:16" ht="26.25" customHeight="1" hidden="1">
      <c r="B21" s="60" t="s">
        <v>57</v>
      </c>
      <c r="C21" s="76" t="s">
        <v>58</v>
      </c>
      <c r="D21" s="62" t="s">
        <v>45</v>
      </c>
      <c r="E21" s="62"/>
      <c r="F21" s="71" t="s">
        <v>43</v>
      </c>
      <c r="G21" s="74">
        <v>1</v>
      </c>
      <c r="H21" s="74">
        <v>1</v>
      </c>
      <c r="I21" s="75">
        <v>1</v>
      </c>
      <c r="J21" s="74"/>
      <c r="K21" s="69"/>
      <c r="L21" s="69"/>
      <c r="M21" s="93"/>
      <c r="N21" s="93"/>
      <c r="O21" s="19"/>
      <c r="P21" s="19"/>
    </row>
    <row r="22" spans="2:16" ht="30.75" customHeight="1" hidden="1" thickBot="1">
      <c r="B22" s="60" t="s">
        <v>59</v>
      </c>
      <c r="C22" s="77" t="s">
        <v>60</v>
      </c>
      <c r="D22" s="62" t="s">
        <v>45</v>
      </c>
      <c r="E22" s="62"/>
      <c r="F22" s="74">
        <v>0</v>
      </c>
      <c r="G22" s="74">
        <v>0.887</v>
      </c>
      <c r="H22" s="74">
        <v>0.887</v>
      </c>
      <c r="I22" s="75">
        <v>0.887</v>
      </c>
      <c r="J22" s="74"/>
      <c r="K22" s="69"/>
      <c r="L22" s="69"/>
      <c r="M22" s="93"/>
      <c r="N22" s="93"/>
      <c r="O22" s="19"/>
      <c r="P22" s="19"/>
    </row>
    <row r="23" spans="2:16" ht="14.25" customHeight="1" hidden="1" thickBot="1">
      <c r="B23" s="58" t="s">
        <v>61</v>
      </c>
      <c r="C23" s="58"/>
      <c r="D23" s="58"/>
      <c r="E23" s="58"/>
      <c r="F23" s="58"/>
      <c r="G23" s="58"/>
      <c r="H23" s="59"/>
      <c r="I23" s="59"/>
      <c r="J23" s="70"/>
      <c r="K23" s="69"/>
      <c r="L23" s="69"/>
      <c r="M23" s="93"/>
      <c r="N23" s="93"/>
      <c r="O23" s="19"/>
      <c r="P23" s="19"/>
    </row>
    <row r="24" spans="2:16" ht="15" customHeight="1">
      <c r="B24" s="60" t="s">
        <v>13</v>
      </c>
      <c r="C24" s="61" t="s">
        <v>62</v>
      </c>
      <c r="D24" s="62" t="s">
        <v>0</v>
      </c>
      <c r="E24" s="62" t="s">
        <v>43</v>
      </c>
      <c r="F24" s="78">
        <v>0.052</v>
      </c>
      <c r="G24" s="78" t="s">
        <v>43</v>
      </c>
      <c r="H24" s="78" t="s">
        <v>43</v>
      </c>
      <c r="I24" s="78">
        <v>0.044</v>
      </c>
      <c r="J24" s="115">
        <v>0.037</v>
      </c>
      <c r="K24" s="115">
        <v>0.04</v>
      </c>
      <c r="L24" s="115">
        <v>0.04</v>
      </c>
      <c r="M24" s="115">
        <v>0.04</v>
      </c>
      <c r="N24" s="115">
        <v>0.04</v>
      </c>
      <c r="O24" s="19"/>
      <c r="P24" s="19"/>
    </row>
    <row r="25" spans="2:16" ht="15" customHeight="1">
      <c r="B25" s="60" t="s">
        <v>15</v>
      </c>
      <c r="C25" s="61" t="s">
        <v>63</v>
      </c>
      <c r="D25" s="62" t="s">
        <v>1</v>
      </c>
      <c r="E25" s="62">
        <v>419.21</v>
      </c>
      <c r="F25" s="68">
        <v>434.04</v>
      </c>
      <c r="G25" s="65">
        <v>432.84</v>
      </c>
      <c r="H25" s="65">
        <v>432.84</v>
      </c>
      <c r="I25" s="65">
        <v>432.84</v>
      </c>
      <c r="J25" s="114">
        <v>53369.6</v>
      </c>
      <c r="K25" s="114">
        <v>53369.6</v>
      </c>
      <c r="L25" s="114">
        <v>53369.6</v>
      </c>
      <c r="M25" s="114">
        <v>53369.6</v>
      </c>
      <c r="N25" s="114">
        <v>53369.6</v>
      </c>
      <c r="O25" s="19"/>
      <c r="P25" s="19"/>
    </row>
    <row r="26" spans="2:16" ht="15" customHeight="1" hidden="1">
      <c r="B26" s="60">
        <v>3</v>
      </c>
      <c r="C26" s="61" t="s">
        <v>64</v>
      </c>
      <c r="D26" s="62" t="s">
        <v>4</v>
      </c>
      <c r="E26" s="62"/>
      <c r="F26" s="65" t="e">
        <f>F71</f>
        <v>#REF!</v>
      </c>
      <c r="G26" s="65" t="e">
        <f>G71</f>
        <v>#REF!</v>
      </c>
      <c r="H26" s="65" t="e">
        <f>H71</f>
        <v>#REF!</v>
      </c>
      <c r="I26" s="65" t="e">
        <f>I71</f>
        <v>#REF!</v>
      </c>
      <c r="J26" s="64">
        <f>J71</f>
        <v>1327029.6154647053</v>
      </c>
      <c r="K26" s="69"/>
      <c r="L26" s="69"/>
      <c r="M26" s="93"/>
      <c r="N26" s="93"/>
      <c r="O26" s="19"/>
      <c r="P26" s="19"/>
    </row>
    <row r="27" spans="2:16" s="23" customFormat="1" ht="15" customHeight="1" hidden="1">
      <c r="B27" s="60">
        <v>5</v>
      </c>
      <c r="C27" s="61" t="s">
        <v>18</v>
      </c>
      <c r="D27" s="62" t="s">
        <v>16</v>
      </c>
      <c r="E27" s="62"/>
      <c r="F27" s="65">
        <v>4.96</v>
      </c>
      <c r="G27" s="65">
        <v>5.417</v>
      </c>
      <c r="H27" s="65">
        <v>4.92</v>
      </c>
      <c r="I27" s="64">
        <v>5.417</v>
      </c>
      <c r="J27" s="65">
        <v>4.92</v>
      </c>
      <c r="K27" s="70"/>
      <c r="L27" s="70"/>
      <c r="M27" s="94"/>
      <c r="N27" s="94"/>
      <c r="O27" s="22"/>
      <c r="P27" s="22"/>
    </row>
    <row r="28" spans="2:16" ht="15" customHeight="1" hidden="1">
      <c r="B28" s="60">
        <v>6</v>
      </c>
      <c r="C28" s="61" t="s">
        <v>21</v>
      </c>
      <c r="D28" s="62" t="s">
        <v>65</v>
      </c>
      <c r="E28" s="62"/>
      <c r="F28" s="65">
        <v>123.095</v>
      </c>
      <c r="G28" s="65">
        <v>118.559</v>
      </c>
      <c r="H28" s="65">
        <v>118.515</v>
      </c>
      <c r="I28" s="65">
        <v>117.056</v>
      </c>
      <c r="J28" s="65">
        <v>118.515</v>
      </c>
      <c r="K28" s="69"/>
      <c r="L28" s="69"/>
      <c r="M28" s="93"/>
      <c r="N28" s="93"/>
      <c r="O28" s="19"/>
      <c r="P28" s="19"/>
    </row>
    <row r="29" spans="2:16" ht="15" customHeight="1" hidden="1" thickBot="1">
      <c r="B29" s="60">
        <v>7</v>
      </c>
      <c r="C29" s="61" t="s">
        <v>66</v>
      </c>
      <c r="D29" s="62" t="s">
        <v>67</v>
      </c>
      <c r="E29" s="62"/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9"/>
      <c r="L29" s="69"/>
      <c r="M29" s="93"/>
      <c r="N29" s="93"/>
      <c r="O29" s="19"/>
      <c r="P29" s="19"/>
    </row>
    <row r="30" spans="2:16" ht="14.25" customHeight="1" hidden="1" thickBot="1">
      <c r="B30" s="58" t="s">
        <v>68</v>
      </c>
      <c r="C30" s="58"/>
      <c r="D30" s="58"/>
      <c r="E30" s="58"/>
      <c r="F30" s="58"/>
      <c r="G30" s="58"/>
      <c r="H30" s="59"/>
      <c r="I30" s="59"/>
      <c r="J30" s="70"/>
      <c r="K30" s="69"/>
      <c r="L30" s="69"/>
      <c r="M30" s="93"/>
      <c r="N30" s="93"/>
      <c r="O30" s="19"/>
      <c r="P30" s="19"/>
    </row>
    <row r="31" spans="2:16" ht="15" customHeight="1" hidden="1">
      <c r="B31" s="60">
        <v>1</v>
      </c>
      <c r="C31" s="61" t="s">
        <v>69</v>
      </c>
      <c r="D31" s="62" t="s">
        <v>70</v>
      </c>
      <c r="E31" s="62"/>
      <c r="F31" s="65" t="s">
        <v>71</v>
      </c>
      <c r="G31" s="65" t="e">
        <f>IF(G28=0,0,G54/G28/10)</f>
        <v>#REF!</v>
      </c>
      <c r="H31" s="65" t="e">
        <f>IF(H28=0,0,H54/H28/10)</f>
        <v>#REF!</v>
      </c>
      <c r="I31" s="65" t="e">
        <f>IF(I28=0,0,I54/I28/10)</f>
        <v>#REF!</v>
      </c>
      <c r="J31" s="65">
        <f>IF(J28=0,0,J54/J28/10)</f>
        <v>1268.3141529719355</v>
      </c>
      <c r="K31" s="69"/>
      <c r="L31" s="69"/>
      <c r="M31" s="93"/>
      <c r="N31" s="93"/>
      <c r="O31" s="19"/>
      <c r="P31" s="19"/>
    </row>
    <row r="32" spans="2:16" ht="31.5" hidden="1">
      <c r="B32" s="60">
        <v>2</v>
      </c>
      <c r="C32" s="61" t="s">
        <v>72</v>
      </c>
      <c r="D32" s="62" t="s">
        <v>0</v>
      </c>
      <c r="E32" s="62"/>
      <c r="F32" s="78" t="s">
        <v>43</v>
      </c>
      <c r="G32" s="78">
        <f>IF(G33=0,0,G70/G33)</f>
        <v>0</v>
      </c>
      <c r="H32" s="78">
        <v>0</v>
      </c>
      <c r="I32" s="78">
        <f>IF(I33=0,0,I70/I33)</f>
        <v>0</v>
      </c>
      <c r="J32" s="78">
        <v>0</v>
      </c>
      <c r="K32" s="69"/>
      <c r="L32" s="69"/>
      <c r="M32" s="93"/>
      <c r="N32" s="93"/>
      <c r="O32" s="19"/>
      <c r="P32" s="19"/>
    </row>
    <row r="33" spans="2:16" s="23" customFormat="1" ht="15" customHeight="1" hidden="1">
      <c r="B33" s="60">
        <v>3</v>
      </c>
      <c r="C33" s="61" t="s">
        <v>73</v>
      </c>
      <c r="D33" s="62" t="s">
        <v>4</v>
      </c>
      <c r="E33" s="62"/>
      <c r="F33" s="65" t="s">
        <v>43</v>
      </c>
      <c r="G33" s="65">
        <v>0</v>
      </c>
      <c r="H33" s="65">
        <v>0</v>
      </c>
      <c r="I33" s="65">
        <v>0</v>
      </c>
      <c r="J33" s="65">
        <v>0</v>
      </c>
      <c r="K33" s="70"/>
      <c r="L33" s="70"/>
      <c r="M33" s="94"/>
      <c r="N33" s="94"/>
      <c r="O33" s="22"/>
      <c r="P33" s="22"/>
    </row>
    <row r="34" spans="2:16" ht="15" customHeight="1">
      <c r="B34" s="60" t="s">
        <v>17</v>
      </c>
      <c r="C34" s="61" t="s">
        <v>74</v>
      </c>
      <c r="D34" s="62" t="s">
        <v>0</v>
      </c>
      <c r="E34" s="62" t="s">
        <v>43</v>
      </c>
      <c r="F34" s="78">
        <v>0</v>
      </c>
      <c r="G34" s="78" t="s">
        <v>43</v>
      </c>
      <c r="H34" s="78" t="s">
        <v>43</v>
      </c>
      <c r="I34" s="78">
        <f>(I25-G25)/G25</f>
        <v>0</v>
      </c>
      <c r="J34" s="79" t="s">
        <v>43</v>
      </c>
      <c r="K34" s="115">
        <f>IF(J25=0,0,(K25-J25)/J25)</f>
        <v>0</v>
      </c>
      <c r="L34" s="115">
        <f>IF(K25=0,0,(L25-K25)/K25)</f>
        <v>0</v>
      </c>
      <c r="M34" s="115">
        <f>IF(L25=0,0,(M25-L25)/L25)</f>
        <v>0</v>
      </c>
      <c r="N34" s="115">
        <f>IF(M25=0,0,(N25-M25)/M25)</f>
        <v>0</v>
      </c>
      <c r="O34" s="19"/>
      <c r="P34" s="19"/>
    </row>
    <row r="35" spans="2:16" ht="18.75" customHeight="1">
      <c r="B35" s="112" t="s">
        <v>75</v>
      </c>
      <c r="C35" s="80" t="s">
        <v>76</v>
      </c>
      <c r="D35" s="81" t="s">
        <v>45</v>
      </c>
      <c r="E35" s="81" t="s">
        <v>43</v>
      </c>
      <c r="F35" s="82">
        <f>(1+F24)*(1-F13)*(1+F34*F14)</f>
        <v>1.04148</v>
      </c>
      <c r="G35" s="82" t="s">
        <v>43</v>
      </c>
      <c r="H35" s="82" t="s">
        <v>43</v>
      </c>
      <c r="I35" s="82">
        <f>(1+I24)*(1-I13)*(1+I34*I14)</f>
        <v>1.01268</v>
      </c>
      <c r="J35" s="82" t="s">
        <v>43</v>
      </c>
      <c r="K35" s="116">
        <f>(1+K24)*(1-K13)*(1+K34*K14)</f>
        <v>1.0088</v>
      </c>
      <c r="L35" s="116">
        <f>(1+L24)*(1-L13)*(1+L34*L14)</f>
        <v>1.0088</v>
      </c>
      <c r="M35" s="116">
        <f>(1+M24)*(1-M13)*(1+M34*M14)</f>
        <v>1.0088</v>
      </c>
      <c r="N35" s="116">
        <f>(1+N24)*(1-N13)*(1+N34*N14)</f>
        <v>1.0088</v>
      </c>
      <c r="O35" s="19"/>
      <c r="P35" s="19"/>
    </row>
    <row r="36" spans="2:16" s="23" customFormat="1" ht="15.75">
      <c r="B36" s="51"/>
      <c r="C36" s="24"/>
      <c r="D36" s="25"/>
      <c r="E36" s="25"/>
      <c r="F36" s="26"/>
      <c r="G36" s="26"/>
      <c r="H36" s="26"/>
      <c r="I36" s="26"/>
      <c r="J36" s="26"/>
      <c r="K36" s="22"/>
      <c r="L36" s="22"/>
      <c r="M36" s="22"/>
      <c r="N36" s="22"/>
      <c r="O36" s="22"/>
      <c r="P36" s="22"/>
    </row>
    <row r="37" spans="2:16" ht="14.25" customHeight="1">
      <c r="B37" s="149" t="s">
        <v>77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93"/>
      <c r="N37" s="93"/>
      <c r="O37" s="19"/>
      <c r="P37" s="19"/>
    </row>
    <row r="38" spans="2:16" ht="15" customHeight="1">
      <c r="B38" s="96" t="s">
        <v>10</v>
      </c>
      <c r="C38" s="95" t="s">
        <v>122</v>
      </c>
      <c r="D38" s="62" t="s">
        <v>4</v>
      </c>
      <c r="E38" s="83">
        <v>4099.4</v>
      </c>
      <c r="F38" s="84">
        <v>2586.8</v>
      </c>
      <c r="G38" s="85">
        <v>4056.3</v>
      </c>
      <c r="H38" s="84">
        <v>2760.1156</v>
      </c>
      <c r="I38" s="72">
        <v>4244.53</v>
      </c>
      <c r="J38" s="117">
        <v>112274.71338306591</v>
      </c>
      <c r="K38" s="87">
        <f>J38*$K$35</f>
        <v>113262.73086083689</v>
      </c>
      <c r="L38" s="87">
        <f>K38*$L$35</f>
        <v>114259.44289241225</v>
      </c>
      <c r="M38" s="87">
        <f>L38*$M$35</f>
        <v>115264.92598986547</v>
      </c>
      <c r="N38" s="87">
        <f>M38*$N$35</f>
        <v>116279.25733857628</v>
      </c>
      <c r="O38" s="19"/>
      <c r="P38" s="19"/>
    </row>
    <row r="39" spans="2:16" ht="15" customHeight="1">
      <c r="B39" s="96" t="s">
        <v>132</v>
      </c>
      <c r="C39" s="95" t="s">
        <v>5</v>
      </c>
      <c r="D39" s="62" t="s">
        <v>4</v>
      </c>
      <c r="E39" s="83">
        <v>421.5</v>
      </c>
      <c r="F39" s="84">
        <v>259.3</v>
      </c>
      <c r="G39" s="85">
        <v>512.8</v>
      </c>
      <c r="H39" s="84">
        <v>259.3</v>
      </c>
      <c r="I39" s="72">
        <v>262.59</v>
      </c>
      <c r="J39" s="117">
        <v>929587.0117050846</v>
      </c>
      <c r="K39" s="87">
        <f aca="true" t="shared" si="0" ref="K39:K53">J39*$K$35</f>
        <v>937767.3774080892</v>
      </c>
      <c r="L39" s="87">
        <f aca="true" t="shared" si="1" ref="L39:L53">K39*$L$35</f>
        <v>946019.7303292804</v>
      </c>
      <c r="M39" s="87">
        <f aca="true" t="shared" si="2" ref="M39:M53">L39*$M$35</f>
        <v>954344.7039561779</v>
      </c>
      <c r="N39" s="87">
        <f aca="true" t="shared" si="3" ref="N39:N53">M39*$N$35</f>
        <v>962742.9373509922</v>
      </c>
      <c r="O39" s="19"/>
      <c r="P39" s="19"/>
    </row>
    <row r="40" spans="2:16" ht="15" customHeight="1">
      <c r="B40" s="96" t="s">
        <v>133</v>
      </c>
      <c r="C40" s="95" t="s">
        <v>78</v>
      </c>
      <c r="D40" s="62" t="s">
        <v>4</v>
      </c>
      <c r="E40" s="83">
        <v>661.9</v>
      </c>
      <c r="F40" s="84">
        <v>0</v>
      </c>
      <c r="G40" s="85">
        <v>840.1</v>
      </c>
      <c r="H40" s="84">
        <v>0</v>
      </c>
      <c r="I40" s="72">
        <v>449.02</v>
      </c>
      <c r="J40" s="117">
        <v>159897.12383475728</v>
      </c>
      <c r="K40" s="87">
        <f t="shared" si="0"/>
        <v>161304.21852450314</v>
      </c>
      <c r="L40" s="87">
        <f t="shared" si="1"/>
        <v>162723.69564751876</v>
      </c>
      <c r="M40" s="87">
        <f t="shared" si="2"/>
        <v>164155.6641692169</v>
      </c>
      <c r="N40" s="87">
        <f t="shared" si="3"/>
        <v>165600.234013906</v>
      </c>
      <c r="O40" s="19"/>
      <c r="P40" s="19"/>
    </row>
    <row r="41" spans="2:16" ht="15" customHeight="1">
      <c r="B41" s="96" t="s">
        <v>134</v>
      </c>
      <c r="C41" s="95" t="s">
        <v>79</v>
      </c>
      <c r="D41" s="62" t="s">
        <v>4</v>
      </c>
      <c r="E41" s="83" t="e">
        <f>E42+E43+E50+E51+E52+E53+#REF!+#REF!</f>
        <v>#REF!</v>
      </c>
      <c r="F41" s="84" t="e">
        <f>F42+F43+F50+F51+F52+F53+#REF!+#REF!</f>
        <v>#REF!</v>
      </c>
      <c r="G41" s="85" t="e">
        <f>G42+G43+G50+G51+G52+G53+#REF!+#REF!</f>
        <v>#REF!</v>
      </c>
      <c r="H41" s="84" t="e">
        <f>H42+H43+H50+H51+H52+H53+#REF!+#REF!</f>
        <v>#REF!</v>
      </c>
      <c r="I41" s="72" t="e">
        <f>I42+I43+I50+I51+I52+I53+#REF!+#REF!</f>
        <v>#REF!</v>
      </c>
      <c r="J41" s="117">
        <v>295785.36858464166</v>
      </c>
      <c r="K41" s="87">
        <f t="shared" si="0"/>
        <v>298388.2798281865</v>
      </c>
      <c r="L41" s="87">
        <f t="shared" si="1"/>
        <v>301014.0966906745</v>
      </c>
      <c r="M41" s="87">
        <f t="shared" si="2"/>
        <v>303663.0207415524</v>
      </c>
      <c r="N41" s="87">
        <f t="shared" si="3"/>
        <v>306335.255324078</v>
      </c>
      <c r="O41" s="19"/>
      <c r="P41" s="19"/>
    </row>
    <row r="42" spans="2:16" ht="15" customHeight="1">
      <c r="B42" s="97" t="s">
        <v>80</v>
      </c>
      <c r="C42" s="95" t="s">
        <v>123</v>
      </c>
      <c r="D42" s="62" t="s">
        <v>4</v>
      </c>
      <c r="E42" s="83">
        <v>435.2</v>
      </c>
      <c r="F42" s="84">
        <v>165.6</v>
      </c>
      <c r="G42" s="85">
        <v>433.9</v>
      </c>
      <c r="H42" s="84">
        <v>277.5</v>
      </c>
      <c r="I42" s="72">
        <v>281.01</v>
      </c>
      <c r="J42" s="117">
        <v>17168.3964123021</v>
      </c>
      <c r="K42" s="87">
        <f t="shared" si="0"/>
        <v>17319.478300730356</v>
      </c>
      <c r="L42" s="87">
        <f t="shared" si="1"/>
        <v>17471.88970977678</v>
      </c>
      <c r="M42" s="87">
        <f t="shared" si="2"/>
        <v>17625.642339222813</v>
      </c>
      <c r="N42" s="87">
        <f t="shared" si="3"/>
        <v>17780.747991807973</v>
      </c>
      <c r="O42" s="19"/>
      <c r="P42" s="19"/>
    </row>
    <row r="43" spans="2:16" ht="18.75" customHeight="1">
      <c r="B43" s="97" t="s">
        <v>81</v>
      </c>
      <c r="C43" s="95" t="s">
        <v>82</v>
      </c>
      <c r="D43" s="62" t="s">
        <v>4</v>
      </c>
      <c r="E43" s="83">
        <f>SUM(E44:E49)</f>
        <v>142.6</v>
      </c>
      <c r="F43" s="84">
        <f>SUM(F44:F49)</f>
        <v>127</v>
      </c>
      <c r="G43" s="85">
        <f>SUM(G44:G49)</f>
        <v>192.8</v>
      </c>
      <c r="H43" s="84">
        <f>SUM(H44:H49)</f>
        <v>174.4454</v>
      </c>
      <c r="I43" s="72">
        <f>SUM(I44:I49)</f>
        <v>176.66</v>
      </c>
      <c r="J43" s="117">
        <v>100169.50595224275</v>
      </c>
      <c r="K43" s="87">
        <f t="shared" si="0"/>
        <v>101050.99760462248</v>
      </c>
      <c r="L43" s="87">
        <f t="shared" si="1"/>
        <v>101940.24638354314</v>
      </c>
      <c r="M43" s="87">
        <f t="shared" si="2"/>
        <v>102837.32055171831</v>
      </c>
      <c r="N43" s="87">
        <f t="shared" si="3"/>
        <v>103742.28897257343</v>
      </c>
      <c r="O43" s="19"/>
      <c r="P43" s="19"/>
    </row>
    <row r="44" spans="2:16" ht="15" customHeight="1">
      <c r="B44" s="97" t="s">
        <v>135</v>
      </c>
      <c r="C44" s="95" t="s">
        <v>124</v>
      </c>
      <c r="D44" s="62" t="s">
        <v>4</v>
      </c>
      <c r="E44" s="83">
        <v>0</v>
      </c>
      <c r="F44" s="84">
        <v>0</v>
      </c>
      <c r="G44" s="85">
        <v>0</v>
      </c>
      <c r="H44" s="84">
        <v>0</v>
      </c>
      <c r="I44" s="72">
        <v>0</v>
      </c>
      <c r="J44" s="117">
        <v>371.82295828515</v>
      </c>
      <c r="K44" s="87">
        <f t="shared" si="0"/>
        <v>375.09500031805925</v>
      </c>
      <c r="L44" s="87">
        <f t="shared" si="1"/>
        <v>378.39583632085817</v>
      </c>
      <c r="M44" s="87">
        <f t="shared" si="2"/>
        <v>381.7257196804817</v>
      </c>
      <c r="N44" s="87">
        <f t="shared" si="3"/>
        <v>385.0849060136699</v>
      </c>
      <c r="O44" s="19"/>
      <c r="P44" s="19"/>
    </row>
    <row r="45" spans="2:16" ht="15" customHeight="1">
      <c r="B45" s="97" t="s">
        <v>136</v>
      </c>
      <c r="C45" s="95" t="s">
        <v>125</v>
      </c>
      <c r="D45" s="62" t="s">
        <v>4</v>
      </c>
      <c r="E45" s="83">
        <v>121.5</v>
      </c>
      <c r="F45" s="84">
        <v>127</v>
      </c>
      <c r="G45" s="85">
        <v>136</v>
      </c>
      <c r="H45" s="84">
        <v>148.1254</v>
      </c>
      <c r="I45" s="72">
        <v>150.01</v>
      </c>
      <c r="J45" s="117">
        <v>30658.4713163613</v>
      </c>
      <c r="K45" s="87">
        <f t="shared" si="0"/>
        <v>30928.26586394528</v>
      </c>
      <c r="L45" s="87">
        <f t="shared" si="1"/>
        <v>31200.434603547994</v>
      </c>
      <c r="M45" s="87">
        <f t="shared" si="2"/>
        <v>31474.998428059214</v>
      </c>
      <c r="N45" s="87">
        <f t="shared" si="3"/>
        <v>31751.978414226134</v>
      </c>
      <c r="O45" s="19"/>
      <c r="P45" s="19"/>
    </row>
    <row r="46" spans="2:16" ht="15" customHeight="1">
      <c r="B46" s="97" t="s">
        <v>137</v>
      </c>
      <c r="C46" s="95" t="s">
        <v>83</v>
      </c>
      <c r="D46" s="62" t="s">
        <v>4</v>
      </c>
      <c r="E46" s="83">
        <v>0</v>
      </c>
      <c r="F46" s="84">
        <v>0</v>
      </c>
      <c r="G46" s="85">
        <v>0</v>
      </c>
      <c r="H46" s="84">
        <v>0</v>
      </c>
      <c r="I46" s="72">
        <v>0</v>
      </c>
      <c r="J46" s="117">
        <v>5566.75632290382</v>
      </c>
      <c r="K46" s="87">
        <f t="shared" si="0"/>
        <v>5615.743778545373</v>
      </c>
      <c r="L46" s="87">
        <f t="shared" si="1"/>
        <v>5665.162323796572</v>
      </c>
      <c r="M46" s="87">
        <f t="shared" si="2"/>
        <v>5715.015752245981</v>
      </c>
      <c r="N46" s="87">
        <f t="shared" si="3"/>
        <v>5765.307890865745</v>
      </c>
      <c r="O46" s="19"/>
      <c r="P46" s="19"/>
    </row>
    <row r="47" spans="2:16" ht="15" customHeight="1">
      <c r="B47" s="97" t="s">
        <v>138</v>
      </c>
      <c r="C47" s="95" t="s">
        <v>84</v>
      </c>
      <c r="D47" s="62" t="s">
        <v>4</v>
      </c>
      <c r="E47" s="83">
        <v>0</v>
      </c>
      <c r="F47" s="84">
        <v>0</v>
      </c>
      <c r="G47" s="85">
        <v>0</v>
      </c>
      <c r="H47" s="84">
        <v>0</v>
      </c>
      <c r="I47" s="72">
        <v>0</v>
      </c>
      <c r="J47" s="117">
        <v>3814.78230020001</v>
      </c>
      <c r="K47" s="87">
        <f t="shared" si="0"/>
        <v>3848.3523844417696</v>
      </c>
      <c r="L47" s="87">
        <f t="shared" si="1"/>
        <v>3882.217885424857</v>
      </c>
      <c r="M47" s="87">
        <f t="shared" si="2"/>
        <v>3916.3814028165953</v>
      </c>
      <c r="N47" s="87">
        <f t="shared" si="3"/>
        <v>3950.845559161381</v>
      </c>
      <c r="O47" s="19"/>
      <c r="P47" s="19"/>
    </row>
    <row r="48" spans="2:16" ht="15" customHeight="1">
      <c r="B48" s="97" t="s">
        <v>85</v>
      </c>
      <c r="C48" s="95" t="s">
        <v>126</v>
      </c>
      <c r="D48" s="62" t="s">
        <v>4</v>
      </c>
      <c r="E48" s="83">
        <v>21.1</v>
      </c>
      <c r="F48" s="84">
        <v>0</v>
      </c>
      <c r="G48" s="85">
        <v>22.5</v>
      </c>
      <c r="H48" s="84">
        <v>0</v>
      </c>
      <c r="I48" s="72">
        <v>0</v>
      </c>
      <c r="J48" s="117">
        <v>112109.0375891226</v>
      </c>
      <c r="K48" s="87">
        <f t="shared" si="0"/>
        <v>113095.59711990687</v>
      </c>
      <c r="L48" s="87">
        <f t="shared" si="1"/>
        <v>114090.83837456204</v>
      </c>
      <c r="M48" s="87">
        <f t="shared" si="2"/>
        <v>115094.83775225817</v>
      </c>
      <c r="N48" s="87">
        <f t="shared" si="3"/>
        <v>116107.67232447803</v>
      </c>
      <c r="O48" s="19"/>
      <c r="P48" s="19"/>
    </row>
    <row r="49" spans="2:16" ht="15" customHeight="1">
      <c r="B49" s="97" t="s">
        <v>139</v>
      </c>
      <c r="C49" s="95" t="s">
        <v>127</v>
      </c>
      <c r="D49" s="62" t="s">
        <v>4</v>
      </c>
      <c r="E49" s="83">
        <v>0</v>
      </c>
      <c r="F49" s="84">
        <v>0</v>
      </c>
      <c r="G49" s="85">
        <v>34.3</v>
      </c>
      <c r="H49" s="84">
        <v>26.32</v>
      </c>
      <c r="I49" s="72">
        <v>26.65</v>
      </c>
      <c r="J49" s="117">
        <v>55.126608322980005</v>
      </c>
      <c r="K49" s="87">
        <f t="shared" si="0"/>
        <v>55.611722476222226</v>
      </c>
      <c r="L49" s="87">
        <f t="shared" si="1"/>
        <v>56.101105634012974</v>
      </c>
      <c r="M49" s="87">
        <f t="shared" si="2"/>
        <v>56.59479536359228</v>
      </c>
      <c r="N49" s="87">
        <f t="shared" si="3"/>
        <v>57.09282956279189</v>
      </c>
      <c r="O49" s="19"/>
      <c r="P49" s="19"/>
    </row>
    <row r="50" spans="2:16" ht="15" customHeight="1">
      <c r="B50" s="97" t="s">
        <v>140</v>
      </c>
      <c r="C50" s="95" t="s">
        <v>128</v>
      </c>
      <c r="D50" s="62" t="s">
        <v>4</v>
      </c>
      <c r="E50" s="83">
        <v>191.3</v>
      </c>
      <c r="F50" s="84">
        <v>218.4</v>
      </c>
      <c r="G50" s="85">
        <v>192.9</v>
      </c>
      <c r="H50" s="84">
        <v>264.31</v>
      </c>
      <c r="I50" s="72">
        <v>267.66</v>
      </c>
      <c r="J50" s="117">
        <v>22482.48115757037</v>
      </c>
      <c r="K50" s="87">
        <f t="shared" si="0"/>
        <v>22680.32699175699</v>
      </c>
      <c r="L50" s="87">
        <f t="shared" si="1"/>
        <v>22879.91386928445</v>
      </c>
      <c r="M50" s="87">
        <f t="shared" si="2"/>
        <v>23081.25711133415</v>
      </c>
      <c r="N50" s="87">
        <f t="shared" si="3"/>
        <v>23284.37217391389</v>
      </c>
      <c r="O50" s="19"/>
      <c r="P50" s="19"/>
    </row>
    <row r="51" spans="2:16" ht="15" customHeight="1">
      <c r="B51" s="97" t="s">
        <v>141</v>
      </c>
      <c r="C51" s="95" t="s">
        <v>129</v>
      </c>
      <c r="D51" s="62" t="s">
        <v>4</v>
      </c>
      <c r="E51" s="83">
        <v>18.5</v>
      </c>
      <c r="F51" s="84">
        <v>0</v>
      </c>
      <c r="G51" s="85">
        <v>7.9</v>
      </c>
      <c r="H51" s="84">
        <v>0</v>
      </c>
      <c r="I51" s="72">
        <v>0</v>
      </c>
      <c r="J51" s="117">
        <v>3388.98796733055</v>
      </c>
      <c r="K51" s="87">
        <f t="shared" si="0"/>
        <v>3418.8110614430584</v>
      </c>
      <c r="L51" s="87">
        <f t="shared" si="1"/>
        <v>3448.896598783757</v>
      </c>
      <c r="M51" s="87">
        <f t="shared" si="2"/>
        <v>3479.246888853054</v>
      </c>
      <c r="N51" s="87">
        <f t="shared" si="3"/>
        <v>3509.8642614749606</v>
      </c>
      <c r="O51" s="19"/>
      <c r="P51" s="19"/>
    </row>
    <row r="52" spans="2:16" ht="15" customHeight="1">
      <c r="B52" s="96" t="s">
        <v>17</v>
      </c>
      <c r="C52" s="95" t="s">
        <v>130</v>
      </c>
      <c r="D52" s="62" t="s">
        <v>4</v>
      </c>
      <c r="E52" s="83">
        <v>0</v>
      </c>
      <c r="F52" s="84">
        <v>0</v>
      </c>
      <c r="G52" s="85">
        <v>0</v>
      </c>
      <c r="H52" s="84">
        <v>0</v>
      </c>
      <c r="I52" s="72">
        <v>0</v>
      </c>
      <c r="J52" s="117">
        <v>5598.3008871399</v>
      </c>
      <c r="K52" s="87">
        <f>J52*$K$35</f>
        <v>5647.5659349467305</v>
      </c>
      <c r="L52" s="87">
        <f t="shared" si="1"/>
        <v>5697.264515174261</v>
      </c>
      <c r="M52" s="87">
        <f t="shared" si="2"/>
        <v>5747.400442907794</v>
      </c>
      <c r="N52" s="87">
        <f t="shared" si="3"/>
        <v>5797.977566805383</v>
      </c>
      <c r="O52" s="19"/>
      <c r="P52" s="19"/>
    </row>
    <row r="53" spans="2:14" ht="15" customHeight="1">
      <c r="B53" s="97" t="s">
        <v>142</v>
      </c>
      <c r="C53" s="95" t="s">
        <v>131</v>
      </c>
      <c r="D53" s="62" t="s">
        <v>4</v>
      </c>
      <c r="E53" s="83">
        <v>0</v>
      </c>
      <c r="F53" s="84">
        <v>0</v>
      </c>
      <c r="G53" s="85">
        <v>0</v>
      </c>
      <c r="H53" s="84">
        <v>0</v>
      </c>
      <c r="I53" s="72">
        <f>G53*$I$35</f>
        <v>0</v>
      </c>
      <c r="J53" s="117">
        <v>5598.3008871399</v>
      </c>
      <c r="K53" s="87">
        <f t="shared" si="0"/>
        <v>5647.5659349467305</v>
      </c>
      <c r="L53" s="87">
        <f t="shared" si="1"/>
        <v>5697.264515174261</v>
      </c>
      <c r="M53" s="87">
        <f t="shared" si="2"/>
        <v>5747.400442907794</v>
      </c>
      <c r="N53" s="87">
        <f t="shared" si="3"/>
        <v>5797.977566805383</v>
      </c>
    </row>
    <row r="54" spans="2:14" s="23" customFormat="1" ht="15" customHeight="1">
      <c r="B54" s="98" t="s">
        <v>75</v>
      </c>
      <c r="C54" s="80" t="s">
        <v>86</v>
      </c>
      <c r="D54" s="81" t="s">
        <v>4</v>
      </c>
      <c r="E54" s="88" t="e">
        <f>E38+E39+E40+E41+#REF!+#REF!-0.1</f>
        <v>#REF!</v>
      </c>
      <c r="F54" s="88" t="e">
        <f>F38+F39+F40+F41+#REF!+#REF!+0.1</f>
        <v>#REF!</v>
      </c>
      <c r="G54" s="88" t="e">
        <f>G38+G39+G40+G41+#REF!+#REF!+0.1</f>
        <v>#REF!</v>
      </c>
      <c r="H54" s="88" t="e">
        <f>H38+H39+H40+H41+#REF!+#REF!</f>
        <v>#REF!</v>
      </c>
      <c r="I54" s="88" t="e">
        <f>I38+I39+I40+I41+#REF!+#REF!</f>
        <v>#REF!</v>
      </c>
      <c r="J54" s="118">
        <f>J38+J39+J40+J41+J52</f>
        <v>1503142.5183946895</v>
      </c>
      <c r="K54" s="118">
        <f>K38+K39+K40+K41+K52</f>
        <v>1516370.1725565623</v>
      </c>
      <c r="L54" s="118">
        <f>L38+L39+L40+L41+L52</f>
        <v>1529714.2300750604</v>
      </c>
      <c r="M54" s="118">
        <f>M38+M39+M40+M41+M52</f>
        <v>1543175.7152997206</v>
      </c>
      <c r="N54" s="118">
        <f>N38+N39+N40+N41+N52</f>
        <v>1556755.661594358</v>
      </c>
    </row>
    <row r="55" spans="2:10" s="23" customFormat="1" ht="15" customHeight="1">
      <c r="B55" s="39"/>
      <c r="C55" s="24"/>
      <c r="D55" s="27"/>
      <c r="E55" s="28"/>
      <c r="F55" s="28"/>
      <c r="G55" s="28"/>
      <c r="H55" s="28"/>
      <c r="I55" s="28"/>
      <c r="J55" s="29"/>
    </row>
    <row r="56" spans="2:14" s="23" customFormat="1" ht="14.25" customHeight="1">
      <c r="B56" s="148" t="s">
        <v>87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94"/>
      <c r="N56" s="94"/>
    </row>
    <row r="57" spans="2:14" s="23" customFormat="1" ht="15" customHeight="1">
      <c r="B57" s="103" t="s">
        <v>10</v>
      </c>
      <c r="C57" s="99" t="s">
        <v>88</v>
      </c>
      <c r="D57" s="62" t="s">
        <v>4</v>
      </c>
      <c r="E57" s="68">
        <v>12195</v>
      </c>
      <c r="F57" s="65">
        <v>3008.1</v>
      </c>
      <c r="G57" s="65">
        <v>4972.4</v>
      </c>
      <c r="H57" s="68">
        <v>3008.1</v>
      </c>
      <c r="I57" s="65">
        <v>4916.94</v>
      </c>
      <c r="J57" s="119">
        <v>408594.2</v>
      </c>
      <c r="K57" s="122">
        <v>408594.2</v>
      </c>
      <c r="L57" s="86">
        <v>408594.2</v>
      </c>
      <c r="M57" s="86">
        <v>408594.2</v>
      </c>
      <c r="N57" s="122">
        <f>L57</f>
        <v>408594.2</v>
      </c>
    </row>
    <row r="58" spans="2:14" s="23" customFormat="1" ht="15" customHeight="1">
      <c r="B58" s="103" t="s">
        <v>12</v>
      </c>
      <c r="C58" s="99" t="s">
        <v>89</v>
      </c>
      <c r="D58" s="62" t="s">
        <v>4</v>
      </c>
      <c r="E58" s="68">
        <v>1218.9</v>
      </c>
      <c r="F58" s="65">
        <v>786.4</v>
      </c>
      <c r="G58" s="65">
        <v>1207.3</v>
      </c>
      <c r="H58" s="68">
        <v>833.55</v>
      </c>
      <c r="I58" s="89">
        <f>I38*0.302</f>
        <v>1281.8480599999998</v>
      </c>
      <c r="J58" s="117">
        <v>275157.75546470506</v>
      </c>
      <c r="K58" s="122">
        <f>K39*0.304</f>
        <v>285081.28273205913</v>
      </c>
      <c r="L58" s="122">
        <f>L39*0.304</f>
        <v>287589.9980201012</v>
      </c>
      <c r="M58" s="122">
        <f>M39*0.304</f>
        <v>290120.79000267806</v>
      </c>
      <c r="N58" s="122">
        <f>N39*0.304</f>
        <v>292673.85295470164</v>
      </c>
    </row>
    <row r="59" spans="2:14" s="23" customFormat="1" ht="15.75" customHeight="1">
      <c r="B59" s="103" t="s">
        <v>13</v>
      </c>
      <c r="C59" s="100" t="s">
        <v>90</v>
      </c>
      <c r="D59" s="62" t="s">
        <v>4</v>
      </c>
      <c r="E59" s="68">
        <v>0</v>
      </c>
      <c r="F59" s="65">
        <v>0</v>
      </c>
      <c r="G59" s="65">
        <v>0</v>
      </c>
      <c r="H59" s="68">
        <v>0</v>
      </c>
      <c r="I59" s="89">
        <f>G59+(G59*$I$24/100)</f>
        <v>0</v>
      </c>
      <c r="J59" s="119">
        <f>SUM(J60:J65)</f>
        <v>51778.530000000006</v>
      </c>
      <c r="K59" s="119">
        <f>SUM(K60:K65)</f>
        <v>53190.42148373669</v>
      </c>
      <c r="L59" s="119">
        <f>SUM(L60:L65)</f>
        <v>53202.84612879357</v>
      </c>
      <c r="M59" s="119">
        <f>SUM(M60:M65)</f>
        <v>53215.380110726954</v>
      </c>
      <c r="N59" s="119">
        <f>SUM(N60:N65)</f>
        <v>53228.02439170135</v>
      </c>
    </row>
    <row r="60" spans="2:14" s="23" customFormat="1" ht="15.75" customHeight="1">
      <c r="B60" s="103" t="s">
        <v>91</v>
      </c>
      <c r="C60" s="100" t="s">
        <v>6</v>
      </c>
      <c r="D60" s="62" t="s">
        <v>4</v>
      </c>
      <c r="E60" s="68">
        <f>SUM(E61:E65)</f>
        <v>0</v>
      </c>
      <c r="F60" s="65">
        <f>SUM(F61:F65)</f>
        <v>81.8</v>
      </c>
      <c r="G60" s="65">
        <f>SUM(G61:G65)</f>
        <v>0</v>
      </c>
      <c r="H60" s="68">
        <f>SUM(H61:H65)</f>
        <v>0</v>
      </c>
      <c r="I60" s="89">
        <f>SUM(I61:I65)</f>
        <v>0</v>
      </c>
      <c r="J60" s="117">
        <v>863.95</v>
      </c>
      <c r="K60" s="119">
        <v>863.95</v>
      </c>
      <c r="L60" s="86">
        <v>863.95</v>
      </c>
      <c r="M60" s="86">
        <v>863.95</v>
      </c>
      <c r="N60" s="122">
        <v>863.95</v>
      </c>
    </row>
    <row r="61" spans="2:14" s="23" customFormat="1" ht="15" customHeight="1">
      <c r="B61" s="103" t="s">
        <v>92</v>
      </c>
      <c r="C61" s="100" t="s">
        <v>7</v>
      </c>
      <c r="D61" s="62" t="s">
        <v>4</v>
      </c>
      <c r="E61" s="68">
        <v>0</v>
      </c>
      <c r="F61" s="65">
        <v>0</v>
      </c>
      <c r="G61" s="65">
        <v>0</v>
      </c>
      <c r="H61" s="68">
        <v>0</v>
      </c>
      <c r="I61" s="89">
        <f>G61+(G61*$I$24/100)</f>
        <v>0</v>
      </c>
      <c r="J61" s="117">
        <v>48878.87</v>
      </c>
      <c r="K61" s="122">
        <v>48878.87</v>
      </c>
      <c r="L61" s="86">
        <v>48878.87</v>
      </c>
      <c r="M61" s="86">
        <v>48878.87</v>
      </c>
      <c r="N61" s="122">
        <v>48878.87</v>
      </c>
    </row>
    <row r="62" spans="2:14" s="23" customFormat="1" ht="15" customHeight="1">
      <c r="B62" s="103" t="s">
        <v>94</v>
      </c>
      <c r="C62" s="100" t="s">
        <v>8</v>
      </c>
      <c r="D62" s="62" t="s">
        <v>4</v>
      </c>
      <c r="E62" s="68">
        <v>0</v>
      </c>
      <c r="F62" s="65">
        <v>0</v>
      </c>
      <c r="G62" s="65">
        <v>0</v>
      </c>
      <c r="H62" s="68">
        <v>0</v>
      </c>
      <c r="I62" s="89">
        <f>G62+(G62*$I$24/100)</f>
        <v>0</v>
      </c>
      <c r="J62" s="117">
        <v>0</v>
      </c>
      <c r="K62" s="122">
        <f>K52/100*25</f>
        <v>1411.8914837366826</v>
      </c>
      <c r="L62" s="122">
        <f>L52/100*25</f>
        <v>1424.3161287935652</v>
      </c>
      <c r="M62" s="122">
        <f>M52/100*25</f>
        <v>1436.8501107269485</v>
      </c>
      <c r="N62" s="122">
        <f>N52/100*25</f>
        <v>1449.4943917013456</v>
      </c>
    </row>
    <row r="63" spans="2:14" s="23" customFormat="1" ht="15" customHeight="1">
      <c r="B63" s="103" t="s">
        <v>95</v>
      </c>
      <c r="C63" s="100" t="s">
        <v>93</v>
      </c>
      <c r="D63" s="62" t="s">
        <v>4</v>
      </c>
      <c r="E63" s="68">
        <v>0</v>
      </c>
      <c r="F63" s="65">
        <v>0</v>
      </c>
      <c r="G63" s="65">
        <v>0</v>
      </c>
      <c r="H63" s="68">
        <v>0</v>
      </c>
      <c r="I63" s="89">
        <v>0</v>
      </c>
      <c r="J63" s="117">
        <v>1762.73</v>
      </c>
      <c r="K63" s="122">
        <v>1762.73</v>
      </c>
      <c r="L63" s="86">
        <v>1762.73</v>
      </c>
      <c r="M63" s="86">
        <v>1762.73</v>
      </c>
      <c r="N63" s="122">
        <v>1762.73</v>
      </c>
    </row>
    <row r="64" spans="2:14" s="23" customFormat="1" ht="15" customHeight="1">
      <c r="B64" s="103" t="s">
        <v>148</v>
      </c>
      <c r="C64" s="100" t="s">
        <v>143</v>
      </c>
      <c r="D64" s="62" t="s">
        <v>4</v>
      </c>
      <c r="E64" s="68">
        <v>0</v>
      </c>
      <c r="F64" s="65">
        <v>0</v>
      </c>
      <c r="G64" s="65">
        <v>0</v>
      </c>
      <c r="H64" s="68">
        <v>0</v>
      </c>
      <c r="I64" s="89">
        <f>G64+(G64*$I$24/100)</f>
        <v>0</v>
      </c>
      <c r="J64" s="117">
        <v>0.11</v>
      </c>
      <c r="K64" s="122">
        <v>0.11</v>
      </c>
      <c r="L64" s="86">
        <v>0.11</v>
      </c>
      <c r="M64" s="86">
        <v>0.11</v>
      </c>
      <c r="N64" s="122">
        <v>0.11</v>
      </c>
    </row>
    <row r="65" spans="2:14" s="23" customFormat="1" ht="15" customHeight="1">
      <c r="B65" s="103" t="s">
        <v>149</v>
      </c>
      <c r="C65" s="101" t="s">
        <v>96</v>
      </c>
      <c r="D65" s="62" t="s">
        <v>4</v>
      </c>
      <c r="E65" s="68">
        <v>0</v>
      </c>
      <c r="F65" s="65">
        <v>81.8</v>
      </c>
      <c r="G65" s="65">
        <v>0</v>
      </c>
      <c r="H65" s="68">
        <v>0</v>
      </c>
      <c r="I65" s="89">
        <f>G65+(G65*$I$24/100)</f>
        <v>0</v>
      </c>
      <c r="J65" s="117">
        <v>272.87</v>
      </c>
      <c r="K65" s="119">
        <v>272.87</v>
      </c>
      <c r="L65" s="86">
        <v>272.87</v>
      </c>
      <c r="M65" s="86">
        <v>272.87</v>
      </c>
      <c r="N65" s="122">
        <v>272.87</v>
      </c>
    </row>
    <row r="66" spans="2:14" s="23" customFormat="1" ht="15" customHeight="1">
      <c r="B66" s="103" t="s">
        <v>15</v>
      </c>
      <c r="C66" s="100" t="s">
        <v>98</v>
      </c>
      <c r="D66" s="62" t="s">
        <v>4</v>
      </c>
      <c r="E66" s="68"/>
      <c r="F66" s="65"/>
      <c r="G66" s="65"/>
      <c r="H66" s="68"/>
      <c r="I66" s="89"/>
      <c r="J66" s="117">
        <v>2386.29</v>
      </c>
      <c r="K66" s="117">
        <v>2386.29</v>
      </c>
      <c r="L66" s="86">
        <v>2386.29</v>
      </c>
      <c r="M66" s="86">
        <v>2386.29</v>
      </c>
      <c r="N66" s="122">
        <v>2386.29</v>
      </c>
    </row>
    <row r="67" spans="2:14" s="23" customFormat="1" ht="15" customHeight="1">
      <c r="B67" s="103" t="s">
        <v>17</v>
      </c>
      <c r="C67" s="102" t="s">
        <v>144</v>
      </c>
      <c r="D67" s="62" t="s">
        <v>4</v>
      </c>
      <c r="E67" s="68"/>
      <c r="F67" s="65"/>
      <c r="G67" s="65"/>
      <c r="H67" s="68"/>
      <c r="I67" s="89"/>
      <c r="J67" s="120">
        <v>321851.14</v>
      </c>
      <c r="K67" s="122">
        <v>334725.1856</v>
      </c>
      <c r="L67" s="86">
        <v>348114.19302400004</v>
      </c>
      <c r="M67" s="86">
        <v>362038.76074496005</v>
      </c>
      <c r="N67" s="122">
        <v>376520.3111747585</v>
      </c>
    </row>
    <row r="68" spans="2:14" s="23" customFormat="1" ht="48" customHeight="1">
      <c r="B68" s="103" t="s">
        <v>75</v>
      </c>
      <c r="C68" s="95" t="s">
        <v>145</v>
      </c>
      <c r="D68" s="62" t="s">
        <v>4</v>
      </c>
      <c r="E68" s="68">
        <v>0</v>
      </c>
      <c r="F68" s="65">
        <v>0</v>
      </c>
      <c r="G68" s="65">
        <v>0</v>
      </c>
      <c r="H68" s="68">
        <v>0</v>
      </c>
      <c r="I68" s="89">
        <f>G68+(G68*$I$24/100)</f>
        <v>0</v>
      </c>
      <c r="J68" s="117">
        <v>171913.86</v>
      </c>
      <c r="K68" s="117">
        <v>178790.41439999998</v>
      </c>
      <c r="L68" s="86">
        <v>185942.03097599998</v>
      </c>
      <c r="M68" s="86">
        <v>193379.71221504</v>
      </c>
      <c r="N68" s="117">
        <v>201114.90070364162</v>
      </c>
    </row>
    <row r="69" spans="2:14" s="23" customFormat="1" ht="36" customHeight="1">
      <c r="B69" s="103" t="s">
        <v>150</v>
      </c>
      <c r="C69" s="95" t="s">
        <v>146</v>
      </c>
      <c r="D69" s="62" t="s">
        <v>4</v>
      </c>
      <c r="E69" s="68">
        <v>135.3</v>
      </c>
      <c r="F69" s="65">
        <v>0</v>
      </c>
      <c r="G69" s="65">
        <v>126.8</v>
      </c>
      <c r="H69" s="68">
        <v>144.88</v>
      </c>
      <c r="I69" s="89">
        <v>151.25</v>
      </c>
      <c r="J69" s="117">
        <v>700.04</v>
      </c>
      <c r="K69" s="117">
        <v>728.0416</v>
      </c>
      <c r="L69" s="86">
        <v>757.163264</v>
      </c>
      <c r="M69" s="86">
        <v>787.4497945600001</v>
      </c>
      <c r="N69" s="117">
        <v>818.9477863424001</v>
      </c>
    </row>
    <row r="70" spans="2:14" s="23" customFormat="1" ht="48.75" customHeight="1">
      <c r="B70" s="103" t="s">
        <v>151</v>
      </c>
      <c r="C70" s="95" t="s">
        <v>147</v>
      </c>
      <c r="D70" s="62" t="s">
        <v>4</v>
      </c>
      <c r="E70" s="68">
        <v>0</v>
      </c>
      <c r="F70" s="65">
        <v>0</v>
      </c>
      <c r="G70" s="65">
        <v>0</v>
      </c>
      <c r="H70" s="68">
        <v>0</v>
      </c>
      <c r="I70" s="90">
        <v>0</v>
      </c>
      <c r="J70" s="117">
        <v>94647.8</v>
      </c>
      <c r="K70" s="117">
        <v>98433.712</v>
      </c>
      <c r="L70" s="86">
        <v>102371.06048</v>
      </c>
      <c r="M70" s="86">
        <v>106465.90289920001</v>
      </c>
      <c r="N70" s="117">
        <v>110724.53901516802</v>
      </c>
    </row>
    <row r="71" spans="2:14" s="23" customFormat="1" ht="15" customHeight="1">
      <c r="B71" s="104" t="s">
        <v>152</v>
      </c>
      <c r="C71" s="80" t="s">
        <v>99</v>
      </c>
      <c r="D71" s="81" t="s">
        <v>4</v>
      </c>
      <c r="E71" s="91" t="e">
        <f>E57+E58+E59+E60+#REF!+E68+E69</f>
        <v>#REF!</v>
      </c>
      <c r="F71" s="92" t="e">
        <f>F57+F58+F59+F60+#REF!+F68+F69</f>
        <v>#REF!</v>
      </c>
      <c r="G71" s="92" t="e">
        <f>G57+G58+G59+G60+#REF!+G68+G69</f>
        <v>#REF!</v>
      </c>
      <c r="H71" s="91" t="e">
        <f>H57+H58+H59+H60+#REF!+H68+H69+H70+#REF!+#REF!</f>
        <v>#REF!</v>
      </c>
      <c r="I71" s="91" t="e">
        <f>I57+I58+I59+I60+#REF!+I68+I69+I70+#REF!+#REF!</f>
        <v>#REF!</v>
      </c>
      <c r="J71" s="121">
        <f>J57+J58+J59+J66+J67+J68+J69+J70</f>
        <v>1327029.6154647053</v>
      </c>
      <c r="K71" s="121">
        <f>K57+K58+K59+K66+K67+K68+K69+K70</f>
        <v>1361929.547815796</v>
      </c>
      <c r="L71" s="121">
        <f>L57+L58+L59+L66+L67+L68+L69+L70</f>
        <v>1388957.781892895</v>
      </c>
      <c r="M71" s="121">
        <f>M57+M58+M59+M66+M67+M68+M69+M70</f>
        <v>1416988.485767165</v>
      </c>
      <c r="N71" s="121">
        <f>N57+N58+N59+N66+N67+N68+N69+N70</f>
        <v>1446061.0660263135</v>
      </c>
    </row>
    <row r="72" spans="2:7" s="23" customFormat="1" ht="13.5" customHeight="1">
      <c r="B72" s="32"/>
      <c r="D72" s="30"/>
      <c r="E72" s="30"/>
      <c r="F72" s="31"/>
      <c r="G72" s="31"/>
    </row>
    <row r="73" spans="2:14" ht="16.5">
      <c r="B73" s="146" t="s">
        <v>153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2"/>
      <c r="N73" s="142"/>
    </row>
    <row r="74" spans="2:14" ht="15.75">
      <c r="B74" s="105" t="s">
        <v>10</v>
      </c>
      <c r="C74" s="106" t="s">
        <v>100</v>
      </c>
      <c r="D74" s="107" t="s">
        <v>4</v>
      </c>
      <c r="J74" s="123">
        <f>J75+J76+J77+J78+J79</f>
        <v>630637.6661406052</v>
      </c>
      <c r="K74" s="121">
        <v>0</v>
      </c>
      <c r="L74" s="121">
        <v>0</v>
      </c>
      <c r="M74" s="121">
        <v>0</v>
      </c>
      <c r="N74" s="121">
        <v>0</v>
      </c>
    </row>
    <row r="75" spans="2:14" ht="15.75">
      <c r="B75" s="108" t="s">
        <v>154</v>
      </c>
      <c r="C75" s="101" t="s">
        <v>101</v>
      </c>
      <c r="D75" s="109" t="s">
        <v>4</v>
      </c>
      <c r="J75" s="117">
        <v>26398</v>
      </c>
      <c r="K75" s="117">
        <v>0</v>
      </c>
      <c r="L75" s="117">
        <v>0</v>
      </c>
      <c r="M75" s="117">
        <v>0</v>
      </c>
      <c r="N75" s="117">
        <v>0</v>
      </c>
    </row>
    <row r="76" spans="2:14" ht="15.75">
      <c r="B76" s="108" t="s">
        <v>155</v>
      </c>
      <c r="C76" s="101" t="s">
        <v>102</v>
      </c>
      <c r="D76" s="109" t="s">
        <v>4</v>
      </c>
      <c r="J76" s="120">
        <v>425001.8061406053</v>
      </c>
      <c r="K76" s="117">
        <v>0</v>
      </c>
      <c r="L76" s="117">
        <v>0</v>
      </c>
      <c r="M76" s="117">
        <v>0</v>
      </c>
      <c r="N76" s="117">
        <v>0</v>
      </c>
    </row>
    <row r="77" spans="2:14" ht="31.5">
      <c r="B77" s="108" t="s">
        <v>156</v>
      </c>
      <c r="C77" s="101" t="s">
        <v>103</v>
      </c>
      <c r="D77" s="109" t="s">
        <v>4</v>
      </c>
      <c r="J77" s="117">
        <v>139192.08</v>
      </c>
      <c r="K77" s="117">
        <v>0</v>
      </c>
      <c r="L77" s="117">
        <v>0</v>
      </c>
      <c r="M77" s="117">
        <v>0</v>
      </c>
      <c r="N77" s="117">
        <v>0</v>
      </c>
    </row>
    <row r="78" spans="2:14" ht="31.5">
      <c r="B78" s="108" t="s">
        <v>157</v>
      </c>
      <c r="C78" s="101" t="s">
        <v>104</v>
      </c>
      <c r="D78" s="109" t="s">
        <v>4</v>
      </c>
      <c r="J78" s="117">
        <v>-14425.81</v>
      </c>
      <c r="K78" s="117">
        <v>0</v>
      </c>
      <c r="L78" s="117">
        <v>0</v>
      </c>
      <c r="M78" s="117">
        <v>0</v>
      </c>
      <c r="N78" s="117">
        <v>0</v>
      </c>
    </row>
    <row r="79" spans="2:14" ht="31.5">
      <c r="B79" s="108" t="s">
        <v>158</v>
      </c>
      <c r="C79" s="101" t="s">
        <v>105</v>
      </c>
      <c r="D79" s="109" t="s">
        <v>4</v>
      </c>
      <c r="F79" s="14">
        <f>8609.01-8368.38</f>
        <v>240.63000000000102</v>
      </c>
      <c r="H79" s="33" t="e">
        <f>8609.01-#REF!</f>
        <v>#REF!</v>
      </c>
      <c r="J79" s="120">
        <v>54471.59</v>
      </c>
      <c r="K79" s="117">
        <v>0</v>
      </c>
      <c r="L79" s="117">
        <v>0</v>
      </c>
      <c r="M79" s="117">
        <v>0</v>
      </c>
      <c r="N79" s="117">
        <v>0</v>
      </c>
    </row>
    <row r="80" spans="2:14" ht="15.75">
      <c r="B80" s="105" t="s">
        <v>12</v>
      </c>
      <c r="C80" s="110" t="s">
        <v>159</v>
      </c>
      <c r="D80" s="107" t="s">
        <v>4</v>
      </c>
      <c r="H80" s="33" t="e">
        <f>H79-F79</f>
        <v>#REF!</v>
      </c>
      <c r="J80" s="123">
        <v>-275604.55</v>
      </c>
      <c r="K80" s="121">
        <v>0</v>
      </c>
      <c r="L80" s="121">
        <v>0</v>
      </c>
      <c r="M80" s="121">
        <v>0</v>
      </c>
      <c r="N80" s="121">
        <v>0</v>
      </c>
    </row>
    <row r="81" spans="2:14" ht="31.5">
      <c r="B81" s="105" t="s">
        <v>13</v>
      </c>
      <c r="C81" s="110" t="s">
        <v>160</v>
      </c>
      <c r="D81" s="107" t="s">
        <v>4</v>
      </c>
      <c r="J81" s="123">
        <v>75084.19</v>
      </c>
      <c r="K81" s="121">
        <v>0</v>
      </c>
      <c r="L81" s="121">
        <v>0</v>
      </c>
      <c r="M81" s="121">
        <v>0</v>
      </c>
      <c r="N81" s="121">
        <v>0</v>
      </c>
    </row>
    <row r="82" spans="2:14" ht="31.5">
      <c r="B82" s="108" t="s">
        <v>97</v>
      </c>
      <c r="C82" s="101" t="s">
        <v>161</v>
      </c>
      <c r="D82" s="109" t="s">
        <v>4</v>
      </c>
      <c r="J82" s="117">
        <v>56094.49</v>
      </c>
      <c r="K82" s="117">
        <v>0</v>
      </c>
      <c r="L82" s="117">
        <v>0</v>
      </c>
      <c r="M82" s="117">
        <v>0</v>
      </c>
      <c r="N82" s="117">
        <v>0</v>
      </c>
    </row>
    <row r="83" spans="2:14" ht="31.5">
      <c r="B83" s="108" t="s">
        <v>110</v>
      </c>
      <c r="C83" s="101" t="s">
        <v>162</v>
      </c>
      <c r="D83" s="109" t="s">
        <v>4</v>
      </c>
      <c r="J83" s="120">
        <v>18989.7</v>
      </c>
      <c r="K83" s="117">
        <v>0</v>
      </c>
      <c r="L83" s="117">
        <v>0</v>
      </c>
      <c r="M83" s="117">
        <v>0</v>
      </c>
      <c r="N83" s="117">
        <v>0</v>
      </c>
    </row>
    <row r="84" spans="2:14" ht="31.5">
      <c r="B84" s="105" t="s">
        <v>15</v>
      </c>
      <c r="C84" s="110" t="s">
        <v>163</v>
      </c>
      <c r="D84" s="107" t="s">
        <v>4</v>
      </c>
      <c r="J84" s="123">
        <v>10000</v>
      </c>
      <c r="K84" s="118">
        <v>403566.955</v>
      </c>
      <c r="L84" s="118">
        <v>403566.955</v>
      </c>
      <c r="M84" s="118">
        <v>403566.955</v>
      </c>
      <c r="N84" s="118">
        <v>403566.955</v>
      </c>
    </row>
    <row r="85" spans="2:14" ht="15.75">
      <c r="B85" s="105" t="s">
        <v>17</v>
      </c>
      <c r="C85" s="106" t="s">
        <v>106</v>
      </c>
      <c r="D85" s="107" t="s">
        <v>4</v>
      </c>
      <c r="J85" s="123">
        <f>J74+J80+J81+J84</f>
        <v>440117.30614060524</v>
      </c>
      <c r="K85" s="123">
        <f>K74+K80+K81+K84</f>
        <v>403566.955</v>
      </c>
      <c r="L85" s="123">
        <f>L74+L80+L81+L84</f>
        <v>403566.955</v>
      </c>
      <c r="M85" s="123">
        <f>M74+M80+M81+M84</f>
        <v>403566.955</v>
      </c>
      <c r="N85" s="123">
        <f>N74+N80+N81+N84</f>
        <v>403566.955</v>
      </c>
    </row>
    <row r="87" spans="2:14" ht="16.5">
      <c r="B87" s="141" t="s">
        <v>165</v>
      </c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2"/>
    </row>
    <row r="88" spans="2:14" ht="15.75">
      <c r="B88" s="105" t="s">
        <v>10</v>
      </c>
      <c r="C88" s="110" t="s">
        <v>164</v>
      </c>
      <c r="D88" s="107" t="s">
        <v>4</v>
      </c>
      <c r="E88" s="111"/>
      <c r="F88" s="93"/>
      <c r="G88" s="93"/>
      <c r="H88" s="93"/>
      <c r="I88" s="93"/>
      <c r="J88" s="123">
        <f>J54+J71+J85</f>
        <v>3270289.4400000004</v>
      </c>
      <c r="K88" s="123">
        <f>K54+K71+K85</f>
        <v>3281866.6753723584</v>
      </c>
      <c r="L88" s="123">
        <f>L54+L71+L85</f>
        <v>3322238.966967955</v>
      </c>
      <c r="M88" s="123">
        <f>M54+M71+M85</f>
        <v>3363731.1560668857</v>
      </c>
      <c r="N88" s="123">
        <f>N54+N71+N85</f>
        <v>3406383.6826206716</v>
      </c>
    </row>
  </sheetData>
  <sheetProtection/>
  <mergeCells count="16">
    <mergeCell ref="B87:N87"/>
    <mergeCell ref="K1:N3"/>
    <mergeCell ref="B5:N5"/>
    <mergeCell ref="B73:N73"/>
    <mergeCell ref="B56:L56"/>
    <mergeCell ref="K7:K9"/>
    <mergeCell ref="L7:L9"/>
    <mergeCell ref="B37:L37"/>
    <mergeCell ref="G7:H8"/>
    <mergeCell ref="B7:B9"/>
    <mergeCell ref="M7:M9"/>
    <mergeCell ref="N7:N9"/>
    <mergeCell ref="C7:C9"/>
    <mergeCell ref="D7:D9"/>
    <mergeCell ref="E7:F8"/>
    <mergeCell ref="J7:J9"/>
  </mergeCells>
  <printOptions/>
  <pageMargins left="0.48" right="0.17" top="0.21" bottom="0.17" header="0.17" footer="0.17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E31" sqref="E31"/>
    </sheetView>
  </sheetViews>
  <sheetFormatPr defaultColWidth="9.140625" defaultRowHeight="12.75"/>
  <cols>
    <col min="2" max="2" width="7.57421875" style="0" customWidth="1"/>
    <col min="3" max="3" width="45.00390625" style="0" customWidth="1"/>
    <col min="4" max="4" width="13.28125" style="0" customWidth="1"/>
    <col min="5" max="5" width="32.421875" style="0" customWidth="1"/>
    <col min="6" max="6" width="16.00390625" style="0" customWidth="1"/>
    <col min="7" max="7" width="6.421875" style="0" customWidth="1"/>
    <col min="8" max="8" width="6.8515625" style="0" customWidth="1"/>
    <col min="9" max="9" width="10.140625" style="0" customWidth="1"/>
    <col min="10" max="10" width="20.00390625" style="0" customWidth="1"/>
  </cols>
  <sheetData>
    <row r="1" spans="4:6" ht="39.75" customHeight="1">
      <c r="D1" s="129" t="s">
        <v>168</v>
      </c>
      <c r="E1" s="129"/>
      <c r="F1" s="10"/>
    </row>
    <row r="2" spans="3:6" ht="12" customHeight="1">
      <c r="C2" s="7"/>
      <c r="D2" s="10"/>
      <c r="E2" s="10"/>
      <c r="F2" s="10"/>
    </row>
    <row r="3" spans="2:6" ht="12.75" customHeight="1" hidden="1">
      <c r="B3" s="7"/>
      <c r="C3" s="7"/>
      <c r="D3" s="10"/>
      <c r="E3" s="10"/>
      <c r="F3" s="10"/>
    </row>
    <row r="4" spans="2:6" ht="11.25" customHeight="1" hidden="1">
      <c r="B4" s="7"/>
      <c r="C4" s="7"/>
      <c r="D4" s="10"/>
      <c r="E4" s="10"/>
      <c r="F4" s="10"/>
    </row>
    <row r="5" spans="2:10" ht="15" customHeight="1">
      <c r="B5" s="156" t="s">
        <v>121</v>
      </c>
      <c r="C5" s="156"/>
      <c r="D5" s="156"/>
      <c r="E5" s="156"/>
      <c r="F5" s="7"/>
      <c r="G5" s="7"/>
      <c r="H5" s="7"/>
      <c r="I5" s="7"/>
      <c r="J5" s="7"/>
    </row>
    <row r="6" spans="2:5" ht="14.25" customHeight="1">
      <c r="B6" s="156"/>
      <c r="C6" s="156"/>
      <c r="D6" s="156"/>
      <c r="E6" s="156"/>
    </row>
    <row r="7" spans="2:10" ht="14.25" customHeight="1">
      <c r="B7" s="156"/>
      <c r="C7" s="156"/>
      <c r="D7" s="156"/>
      <c r="E7" s="156"/>
      <c r="F7" s="7"/>
      <c r="G7" s="7"/>
      <c r="H7" s="7"/>
      <c r="I7" s="7"/>
      <c r="J7" s="7"/>
    </row>
    <row r="8" spans="2:10" ht="12.75">
      <c r="B8" s="12"/>
      <c r="C8" s="12"/>
      <c r="D8" s="12"/>
      <c r="E8" s="12"/>
      <c r="F8" s="7"/>
      <c r="G8" s="7"/>
      <c r="H8" s="7"/>
      <c r="I8" s="7"/>
      <c r="J8" s="7"/>
    </row>
    <row r="9" ht="6.75" customHeight="1"/>
    <row r="10" spans="2:5" ht="24" customHeight="1">
      <c r="B10" s="154" t="s">
        <v>2</v>
      </c>
      <c r="C10" s="154" t="s">
        <v>29</v>
      </c>
      <c r="D10" s="154" t="s">
        <v>23</v>
      </c>
      <c r="E10" s="50" t="s">
        <v>30</v>
      </c>
    </row>
    <row r="11" spans="2:5" ht="14.25" customHeight="1">
      <c r="B11" s="155"/>
      <c r="C11" s="155"/>
      <c r="D11" s="155"/>
      <c r="E11" s="13" t="s">
        <v>4</v>
      </c>
    </row>
    <row r="12" spans="2:5" ht="15.75">
      <c r="B12" s="151" t="s">
        <v>10</v>
      </c>
      <c r="C12" s="153" t="s">
        <v>120</v>
      </c>
      <c r="D12" s="13">
        <v>2018</v>
      </c>
      <c r="E12" s="128">
        <f>'Приложение 3'!J88</f>
        <v>3270289.4400000004</v>
      </c>
    </row>
    <row r="13" spans="2:5" ht="15.75">
      <c r="B13" s="151"/>
      <c r="C13" s="153"/>
      <c r="D13" s="13">
        <v>2019</v>
      </c>
      <c r="E13" s="128">
        <f>'Приложение 3'!K88</f>
        <v>3281866.6753723584</v>
      </c>
    </row>
    <row r="14" spans="2:5" ht="15.75">
      <c r="B14" s="151"/>
      <c r="C14" s="153"/>
      <c r="D14" s="13">
        <v>2020</v>
      </c>
      <c r="E14" s="128">
        <f>'Приложение 3'!L88</f>
        <v>3322238.966967955</v>
      </c>
    </row>
    <row r="15" spans="2:5" ht="15.75">
      <c r="B15" s="152"/>
      <c r="C15" s="152"/>
      <c r="D15" s="13">
        <v>2021</v>
      </c>
      <c r="E15" s="128">
        <f>'Приложение 3'!M88</f>
        <v>3363731.1560668857</v>
      </c>
    </row>
    <row r="16" spans="2:5" ht="15.75">
      <c r="B16" s="152"/>
      <c r="C16" s="152"/>
      <c r="D16" s="13">
        <v>2022</v>
      </c>
      <c r="E16" s="128">
        <f>'Приложение 3'!N88</f>
        <v>3406383.6826206716</v>
      </c>
    </row>
  </sheetData>
  <sheetProtection/>
  <mergeCells count="7">
    <mergeCell ref="B12:B16"/>
    <mergeCell ref="C12:C16"/>
    <mergeCell ref="D1:E1"/>
    <mergeCell ref="D10:D11"/>
    <mergeCell ref="C10:C11"/>
    <mergeCell ref="B10:B11"/>
    <mergeCell ref="B5:E7"/>
  </mergeCells>
  <printOptions/>
  <pageMargins left="0.5511811023622047" right="0.5511811023622047" top="0.75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Базанова</cp:lastModifiedBy>
  <cp:lastPrinted>2017-12-26T14:52:44Z</cp:lastPrinted>
  <dcterms:created xsi:type="dcterms:W3CDTF">1996-10-08T23:32:33Z</dcterms:created>
  <dcterms:modified xsi:type="dcterms:W3CDTF">2017-12-29T10:44:20Z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