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прил. 2" sheetId="1" r:id="rId1"/>
    <sheet name="прил 3" sheetId="2" r:id="rId2"/>
    <sheet name="прил 4" sheetId="3" r:id="rId3"/>
    <sheet name="прил 5" sheetId="4" r:id="rId4"/>
  </sheets>
  <externalReferences>
    <externalReference r:id="rId7"/>
    <externalReference r:id="rId8"/>
    <externalReference r:id="rId9"/>
    <externalReference r:id="rId10"/>
  </externalReferences>
  <definedNames>
    <definedName name="_xlfn.IFERROR" hidden="1">#NAME?</definedName>
    <definedName name="_xlnm.Print_Area" localSheetId="1">'прил 3'!$A$1:$E$34</definedName>
    <definedName name="_xlnm.Print_Area" localSheetId="2">'прил 4'!$A$1:$S$32</definedName>
    <definedName name="_xlnm.Print_Area" localSheetId="0">'прил. 2'!$A$6:$N$47</definedName>
  </definedNames>
  <calcPr fullCalcOnLoad="1"/>
</workbook>
</file>

<file path=xl/sharedStrings.xml><?xml version="1.0" encoding="utf-8"?>
<sst xmlns="http://schemas.openxmlformats.org/spreadsheetml/2006/main" count="200" uniqueCount="96">
  <si>
    <t xml:space="preserve">Приложение № 2 к протоколу заседания Правления Государственного комитета                                                                                                                      Республики Карелия по ценам и тарифам от 31.07.2017 № </t>
  </si>
  <si>
    <t>Доходы филиала ПАО «МРСК Северо-Запада» «Карелэнерго» от оказания услуг по передаче электрической энергии на 2017 год</t>
  </si>
  <si>
    <t>Показатели</t>
  </si>
  <si>
    <t>Потребители, присоединенные к центру питания на генераторном напряжении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</si>
  <si>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</si>
  <si>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городских населенных пунктах в домах, оборудованных в установленном порядке стационарными электроплитами</t>
  </si>
  <si>
    <t>Население, проживающее в сельских населенных пунктах</t>
  </si>
  <si>
    <t>Потребители, приравненные к населению, коэф.1</t>
  </si>
  <si>
    <t>Потребители, приравненные к населению, коэф.0,7</t>
  </si>
  <si>
    <t>Итого</t>
  </si>
  <si>
    <t>Доходы филиала ПАО «МРСК Северо-Запада» «Карелэнерго»  от оказания услуг по передаче электрической энергии на 2018 год</t>
  </si>
  <si>
    <t>Прочие потребители</t>
  </si>
  <si>
    <t>ВН</t>
  </si>
  <si>
    <t>СН1</t>
  </si>
  <si>
    <t>СН2</t>
  </si>
  <si>
    <t>НН</t>
  </si>
  <si>
    <t>1 полугодие</t>
  </si>
  <si>
    <t>январь-март</t>
  </si>
  <si>
    <t>х</t>
  </si>
  <si>
    <t>Заявленная мощность потребителей, МВт</t>
  </si>
  <si>
    <t>Ставка на содержание электрических сетей, руб./МВт в мес.</t>
  </si>
  <si>
    <t>НВВ, тыс. руб.</t>
  </si>
  <si>
    <t>апрель-июнь</t>
  </si>
  <si>
    <t>Полезный отпуск электроэнергии, млн.кВт·ч</t>
  </si>
  <si>
    <t>Ставка на оплату потерь, руб./МВт·ч</t>
  </si>
  <si>
    <t>Одноставочный тариф, руб./МВт·ч</t>
  </si>
  <si>
    <t>2 полугодие</t>
  </si>
  <si>
    <t>Год</t>
  </si>
  <si>
    <t>НВВ, тыс.руб.</t>
  </si>
  <si>
    <t>НВВ на содержание сетей на 2018 год,                                            тыс. руб.</t>
  </si>
  <si>
    <t>Покупка потерь от:</t>
  </si>
  <si>
    <t>Потери, млн. кВтч</t>
  </si>
  <si>
    <t>Тариф покупки потерь, руб./МВт·ч</t>
  </si>
  <si>
    <t>Затраты на покупку потерь, тыс. руб.</t>
  </si>
  <si>
    <t>январь-март 2018</t>
  </si>
  <si>
    <t>апрель-июнь 2018</t>
  </si>
  <si>
    <t>2 пол. 2018</t>
  </si>
  <si>
    <t>АО "ТНС энерго Карелия"</t>
  </si>
  <si>
    <t>-</t>
  </si>
  <si>
    <r>
      <t>Полезный отпуск электроэнергии, млн.кВт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</si>
  <si>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Ставка на оплату потерь,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</si>
  <si>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Одноставочный тариф,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</si>
  <si>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r>
      <t>Ставка на оплату  потерь, руб./МВт</t>
    </r>
    <r>
      <rPr>
        <sz val="12"/>
        <rFont val="Arial"/>
        <family val="2"/>
      </rPr>
      <t>·</t>
    </r>
    <r>
      <rPr>
        <sz val="12"/>
        <rFont val="Times New Roman"/>
        <family val="1"/>
      </rPr>
      <t>ч</t>
    </r>
  </si>
  <si>
    <t>Доходы филиала  ПАО «ФСК ЕЭС»  - Карельское ПМЭС от оказания услуг по передаче электрической энергии от АО «ТНС энерго Карелия» на 2018 год</t>
  </si>
  <si>
    <t>№ п/п</t>
  </si>
  <si>
    <t>Наименование организации</t>
  </si>
  <si>
    <t xml:space="preserve">январь-март 2018 года </t>
  </si>
  <si>
    <t>апрель-июнь 2018 года</t>
  </si>
  <si>
    <t>2 полугодие 2018 года</t>
  </si>
  <si>
    <t>НВВ на содержание сетей на 2018 год, тыс. руб.</t>
  </si>
  <si>
    <t>Затраты на покупку потерь в 2018 году,                                                         тыс. руб.</t>
  </si>
  <si>
    <t>Присоединен. (заявленная) мощность сетевой организации, МВт</t>
  </si>
  <si>
    <t>Полезный отпуск электроэнергии конечным потребителям,                    млн. кВтч</t>
  </si>
  <si>
    <t>Потери, млн.кВтч</t>
  </si>
  <si>
    <t>январь-март                                        2018 года</t>
  </si>
  <si>
    <t>апрель-июнь                                  2018 года</t>
  </si>
  <si>
    <t>1.</t>
  </si>
  <si>
    <t>Филиал ПАО "МРСК Северо-Запада" "Карелэнерго" - АО "Прионежская сетевая компания"</t>
  </si>
  <si>
    <t>ООО "Энергокомфорт". Карелия"</t>
  </si>
  <si>
    <t>АО "Норд-Гидро"</t>
  </si>
  <si>
    <t>2.</t>
  </si>
  <si>
    <t xml:space="preserve">Филиал ПАО "МРСК Северо-Запада" "Карелэнерго" - АО «Объединенные региональные электрические сети Петрозаводска» </t>
  </si>
  <si>
    <t>3.</t>
  </si>
  <si>
    <t>Филиал ПАО "МРСК Северо-Запада" "Карелэнерго" - Структурное подразделение Трансэнерго - филиал ОАО  "РЖД" Октябрьской дирекции по энергообеспечению</t>
  </si>
  <si>
    <t>ООО "Русэнергосбыт"</t>
  </si>
  <si>
    <t>4.</t>
  </si>
  <si>
    <t>Филиал ПАО "МРСК Северо-Запада" "Карелэнерго" - АО "Карельский окатыш"</t>
  </si>
  <si>
    <t>АО "Карельский окатыш"</t>
  </si>
  <si>
    <t>5.</t>
  </si>
  <si>
    <t>Филиал ПАО "МРСК Северо-Запада" "Карелэнерго" - Филиал ПАО "ФСК ЕЭС" - Карельское ПМЭС</t>
  </si>
  <si>
    <t>6.</t>
  </si>
  <si>
    <t>Филиал ПАО "МРСК Северо-Запада" "Карелэнерго" - ООО "РЭК"</t>
  </si>
  <si>
    <r>
      <t>Тариф покупки потерь                                                                 в 2018 году,  руб./МВт</t>
    </r>
    <r>
      <rPr>
        <b/>
        <sz val="10"/>
        <color indexed="8"/>
        <rFont val="Arial"/>
        <family val="2"/>
      </rPr>
      <t>·</t>
    </r>
    <r>
      <rPr>
        <b/>
        <sz val="10"/>
        <color indexed="8"/>
        <rFont val="Times New Roman"/>
        <family val="1"/>
      </rPr>
      <t>ч</t>
    </r>
  </si>
  <si>
    <t>Индивидуальные тарифы на услуги по передаче электрической энергии для взаиморасчетов между сетевыми организациями Республики Карелия                                                                                                               на 2018 год</t>
  </si>
  <si>
    <t>Наименование сетевых организаций</t>
  </si>
  <si>
    <t>с 1 января 2018 года по 31 марта 2018 года</t>
  </si>
  <si>
    <t>с 1 апреля 2018 года по 30 июня 2018 года</t>
  </si>
  <si>
    <t>с 1 июля 2018 года по 31 декабря 2018 года</t>
  </si>
  <si>
    <t>Двухставочный тариф</t>
  </si>
  <si>
    <t>Одноставочный тариф</t>
  </si>
  <si>
    <t>Ставка за содержание электрических сетей</t>
  </si>
  <si>
    <t>Ставка на оплату технологического расхода (потерь)</t>
  </si>
  <si>
    <t>Филиал ПАО «МРСК Северо-Запада» «Карелэнерго» – АО «Прионежская сетевая компания»</t>
  </si>
  <si>
    <t xml:space="preserve">Филиал ПАО «МРСК Северо-Запада» «Карелэнерго» – АО «Объединенные региональные электрические сети Петрозаводска» </t>
  </si>
  <si>
    <t>Филиал ПАО «МРСК Северо-Запада» «Карелэнерго» – Структурное подразделение Трансэнерго – филиал                                  ОАО «Российские железные дороги» Октябрьской дирекции по энергообеспечению</t>
  </si>
  <si>
    <t>Филиал ПАО «МРСК Северо-Запада» «Карелэнерго» –  АО «Карельский окатыш»</t>
  </si>
  <si>
    <t>Филиал ПАО «МРСК Северо-Запада» «Карелэнерго» – Филиал ПАО «ФСК ЕЭС» - Карельское ПМЭС</t>
  </si>
  <si>
    <t>Филиал ПАО «МРСК Северо-Запада» «Карелэнерго» – ООО «РЭК»</t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</si>
  <si>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мес.</t>
    </r>
  </si>
  <si>
    <r>
      <t>руб./МВт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</si>
  <si>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r>
      <t>руб./кВт</t>
    </r>
    <r>
      <rPr>
        <sz val="10"/>
        <rFont val="Arial"/>
        <family val="2"/>
      </rPr>
      <t>·</t>
    </r>
    <r>
      <rPr>
        <sz val="10"/>
        <rFont val="Times New Roman"/>
        <family val="1"/>
      </rPr>
      <t>ч</t>
    </r>
  </si>
  <si>
    <t>Объемные показатели, принятые для расчета индивидуальных тарифов на услуги по передаче электрической энергии для взаиморасчетов между сетевыми организациями на 2018 год</t>
  </si>
  <si>
    <t>Приложение № 2 к протоколу заседания Правления Государственного комитета                                                                                                                           Республики Карелия по ценам и тарифам от 06.03.2018 № 15</t>
  </si>
  <si>
    <t xml:space="preserve">Приложение № 3 к протоколу заседания Правления Государственного комитета                                                                                                                      Республики Карелия по ценам и тарифам                                                                                от 06.03.2018 № 15       </t>
  </si>
  <si>
    <t>Приложение № 4 к протоколу заседания Правления Государственного комитета                                                                                                                                                                           Республики Карелия по ценам и тарифам от 06.03.2018 № 15</t>
  </si>
  <si>
    <t>Приложение № 5 к протоколу заседания Правления Государственного комитета                                                                                                                                                                           Республики Карелия по ценам и тарифам от 06.03.2018 № 15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</si>
</sst>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"/>
    <numFmt numFmtId="173" formatCode="0.00000000"/>
    <numFmt numFmtId="174" formatCode="0.000000"/>
    <numFmt numFmtId="175" formatCode="#,##0.0000"/>
    <numFmt numFmtId="176" formatCode="#,##0.000000"/>
    <numFmt numFmtId="177" formatCode="#,##0.00000"/>
    <numFmt numFmtId="178" formatCode="_-* #,##0.000000_р_._-;\-* #,##0.000000_р_._-;_-* &quot;-&quot;??_р_._-;_-@_-"/>
    <numFmt numFmtId="179" formatCode="#,##0.000000000"/>
    <numFmt numFmtId="180" formatCode="#,##0.0"/>
    <numFmt numFmtId="181" formatCode="#,##0.00000000"/>
    <numFmt numFmtId="182" formatCode="#,##0.000"/>
    <numFmt numFmtId="183" formatCode="0.00000"/>
    <numFmt numFmtId="184" formatCode="0.000"/>
    <numFmt numFmtId="185" formatCode="#,##0.0000000"/>
    <numFmt numFmtId="186" formatCode="0.0000000"/>
    <numFmt numFmtId="187" formatCode="#,##0.0000000000"/>
    <numFmt numFmtId="188" formatCode="#,##0.00000000000"/>
    <numFmt numFmtId="189" formatCode="#,##0.000000000000"/>
    <numFmt numFmtId="190" formatCode="#,##0.0000000000000"/>
    <numFmt numFmtId="191" formatCode="#,##0.00000000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[$€-1]_-;\-* #,##0.00[$€-1]_-;_-* &quot;-&quot;??[$€-1]_-"/>
    <numFmt numFmtId="198" formatCode="&quot;$&quot;#,##0_);[Red]\(&quot;$&quot;#,##0\)"/>
  </numFmts>
  <fonts count="52">
    <font>
      <sz val="10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62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9"/>
      <color indexed="11"/>
      <name val="Tahoma"/>
      <family val="2"/>
    </font>
    <font>
      <sz val="8"/>
      <color indexed="11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lightDown">
        <f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97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>
      <protection/>
    </xf>
    <xf numFmtId="0" fontId="6" fillId="0" borderId="1" applyNumberFormat="0" applyAlignment="0">
      <protection locked="0"/>
    </xf>
    <xf numFmtId="0" fontId="6" fillId="0" borderId="1" applyNumberFormat="0" applyAlignment="0">
      <protection locked="0"/>
    </xf>
    <xf numFmtId="0" fontId="6" fillId="0" borderId="1" applyNumberFormat="0" applyAlignment="0">
      <protection locked="0"/>
    </xf>
    <xf numFmtId="198" fontId="7" fillId="0" borderId="0" applyFont="0" applyFill="0" applyBorder="0" applyAlignment="0" applyProtection="0"/>
    <xf numFmtId="180" fontId="8" fillId="13" borderId="0">
      <alignment/>
      <protection locked="0"/>
    </xf>
    <xf numFmtId="0" fontId="9" fillId="0" borderId="0" applyFill="0" applyBorder="0" applyProtection="0">
      <alignment vertical="center"/>
    </xf>
    <xf numFmtId="182" fontId="8" fillId="13" borderId="0">
      <alignment/>
      <protection locked="0"/>
    </xf>
    <xf numFmtId="175" fontId="8" fillId="13" borderId="0">
      <alignment/>
      <protection locked="0"/>
    </xf>
    <xf numFmtId="0" fontId="6" fillId="2" borderId="1" applyAlignment="0">
      <protection/>
    </xf>
    <xf numFmtId="0" fontId="10" fillId="0" borderId="0" applyNumberFormat="0" applyFill="0" applyBorder="0" applyAlignment="0" applyProtection="0"/>
    <xf numFmtId="0" fontId="6" fillId="5" borderId="1" applyNumberFormat="0" applyAlignment="0">
      <protection/>
    </xf>
    <xf numFmtId="0" fontId="6" fillId="11" borderId="1" applyNumberFormat="0" applyAlignment="0">
      <protection/>
    </xf>
    <xf numFmtId="0" fontId="6" fillId="11" borderId="1" applyNumberFormat="0" applyAlignment="0">
      <protection/>
    </xf>
    <xf numFmtId="0" fontId="6" fillId="11" borderId="1" applyNumberFormat="0" applyAlignment="0"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>
      <alignment/>
      <protection/>
    </xf>
    <xf numFmtId="0" fontId="9" fillId="0" borderId="0" applyFill="0" applyBorder="0" applyProtection="0">
      <alignment vertical="center"/>
    </xf>
    <xf numFmtId="0" fontId="9" fillId="0" borderId="0" applyFill="0" applyBorder="0" applyProtection="0">
      <alignment vertical="center"/>
    </xf>
    <xf numFmtId="0" fontId="14" fillId="6" borderId="2" applyNumberFormat="0">
      <alignment horizontal="center" vertical="center"/>
      <protection/>
    </xf>
    <xf numFmtId="0" fontId="14" fillId="6" borderId="2" applyNumberFormat="0">
      <alignment horizontal="center" vertical="center"/>
      <protection/>
    </xf>
    <xf numFmtId="49" fontId="15" fillId="12" borderId="3" applyNumberFormat="0">
      <alignment horizontal="center" vertical="center"/>
      <protection/>
    </xf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16" fillId="4" borderId="1" applyNumberFormat="0" applyAlignment="0" applyProtection="0"/>
    <xf numFmtId="0" fontId="17" fillId="11" borderId="4" applyNumberFormat="0" applyAlignment="0" applyProtection="0"/>
    <xf numFmtId="0" fontId="18" fillId="11" borderId="1" applyNumberFormat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Border="0">
      <alignment horizontal="center"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Border="0">
      <alignment horizontal="center" vertical="center" wrapText="1"/>
      <protection/>
    </xf>
    <xf numFmtId="4" fontId="8" fillId="13" borderId="9" applyBorder="0">
      <alignment horizontal="right"/>
      <protection/>
    </xf>
    <xf numFmtId="0" fontId="28" fillId="0" borderId="10" applyNumberFormat="0" applyFill="0" applyAlignment="0" applyProtection="0"/>
    <xf numFmtId="0" fontId="29" fillId="12" borderId="11" applyNumberFormat="0" applyAlignment="0" applyProtection="0"/>
    <xf numFmtId="0" fontId="30" fillId="0" borderId="0" applyNumberFormat="0" applyFill="0" applyBorder="0" applyAlignment="0" applyProtection="0"/>
    <xf numFmtId="0" fontId="31" fillId="13" borderId="0" applyNumberFormat="0" applyBorder="0" applyAlignment="0" applyProtection="0"/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49" fontId="8" fillId="0" borderId="0" applyBorder="0">
      <alignment vertical="top"/>
      <protection/>
    </xf>
    <xf numFmtId="0" fontId="33" fillId="20" borderId="0" applyNumberFormat="0" applyBorder="0" applyAlignment="0">
      <protection/>
    </xf>
    <xf numFmtId="0" fontId="33" fillId="20" borderId="0" applyNumberFormat="0" applyBorder="0" applyAlignment="0">
      <protection/>
    </xf>
    <xf numFmtId="0" fontId="0" fillId="0" borderId="0">
      <alignment/>
      <protection/>
    </xf>
    <xf numFmtId="0" fontId="32" fillId="0" borderId="0">
      <alignment/>
      <protection/>
    </xf>
    <xf numFmtId="0" fontId="34" fillId="20" borderId="0">
      <alignment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6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8" fillId="20" borderId="0" applyBorder="0">
      <alignment vertical="top"/>
      <protection/>
    </xf>
    <xf numFmtId="49" fontId="8" fillId="2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20" borderId="0" applyNumberFormat="0" applyBorder="0" applyAlignment="0"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0" borderId="13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8" fillId="5" borderId="0" applyBorder="0">
      <alignment horizontal="right"/>
      <protection/>
    </xf>
    <xf numFmtId="4" fontId="8" fillId="5" borderId="14" applyBorder="0">
      <alignment horizontal="right"/>
      <protection/>
    </xf>
    <xf numFmtId="4" fontId="8" fillId="5" borderId="9" applyFont="0" applyBorder="0">
      <alignment horizontal="right"/>
      <protection/>
    </xf>
    <xf numFmtId="0" fontId="39" fillId="5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2" fillId="0" borderId="0" xfId="129">
      <alignment vertical="center"/>
      <protection/>
    </xf>
    <xf numFmtId="0" fontId="41" fillId="0" borderId="0" xfId="129" applyFont="1" applyAlignment="1">
      <alignment horizontal="right" vertical="center" wrapText="1"/>
      <protection/>
    </xf>
    <xf numFmtId="0" fontId="32" fillId="0" borderId="0" xfId="129" applyFill="1">
      <alignment vertical="center"/>
      <protection/>
    </xf>
    <xf numFmtId="0" fontId="42" fillId="0" borderId="0" xfId="129" applyFont="1" applyBorder="1" applyAlignment="1">
      <alignment horizontal="center"/>
      <protection/>
    </xf>
    <xf numFmtId="0" fontId="43" fillId="0" borderId="0" xfId="129" applyFont="1" applyAlignment="1">
      <alignment/>
      <protection/>
    </xf>
    <xf numFmtId="0" fontId="41" fillId="0" borderId="0" xfId="129" applyFont="1" applyBorder="1" applyAlignment="1">
      <alignment horizontal="center"/>
      <protection/>
    </xf>
    <xf numFmtId="0" fontId="41" fillId="0" borderId="0" xfId="129" applyFont="1" applyFill="1" applyBorder="1" applyAlignment="1">
      <alignment horizontal="center"/>
      <protection/>
    </xf>
    <xf numFmtId="0" fontId="44" fillId="0" borderId="15" xfId="129" applyFont="1" applyBorder="1" applyAlignment="1">
      <alignment horizontal="center" vertical="center" wrapText="1"/>
      <protection/>
    </xf>
    <xf numFmtId="0" fontId="44" fillId="0" borderId="15" xfId="129" applyFont="1" applyBorder="1" applyAlignment="1">
      <alignment horizontal="center"/>
      <protection/>
    </xf>
    <xf numFmtId="49" fontId="4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15" xfId="129" applyFont="1" applyBorder="1" applyAlignment="1">
      <alignment horizontal="center" vertical="center" wrapText="1" shrinkToFit="1"/>
      <protection/>
    </xf>
    <xf numFmtId="0" fontId="43" fillId="0" borderId="0" xfId="129" applyFont="1" applyBorder="1" applyAlignment="1">
      <alignment/>
      <protection/>
    </xf>
    <xf numFmtId="0" fontId="43" fillId="0" borderId="0" xfId="129" applyFont="1" applyBorder="1" applyAlignment="1">
      <alignment horizontal="center" vertical="center" wrapText="1" shrinkToFit="1"/>
      <protection/>
    </xf>
    <xf numFmtId="0" fontId="44" fillId="0" borderId="0" xfId="129" applyFont="1" applyBorder="1" applyAlignment="1">
      <alignment horizontal="center" vertical="center" wrapText="1"/>
      <protection/>
    </xf>
    <xf numFmtId="0" fontId="44" fillId="0" borderId="0" xfId="129" applyFont="1" applyBorder="1" applyAlignment="1">
      <alignment horizontal="center"/>
      <protection/>
    </xf>
    <xf numFmtId="49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49" fontId="4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129" applyFont="1" applyBorder="1" applyAlignment="1">
      <alignment horizontal="center" vertical="center" wrapText="1" shrinkToFit="1"/>
      <protection/>
    </xf>
    <xf numFmtId="0" fontId="43" fillId="0" borderId="9" xfId="129" applyFont="1" applyBorder="1" applyAlignment="1">
      <alignment horizontal="center" vertical="center" wrapText="1" shrinkToFit="1"/>
      <protection/>
    </xf>
    <xf numFmtId="49" fontId="43" fillId="0" borderId="9" xfId="126" applyNumberFormat="1" applyFont="1" applyFill="1" applyBorder="1" applyAlignment="1" applyProtection="1">
      <alignment horizontal="center" vertical="center" wrapText="1"/>
      <protection locked="0"/>
    </xf>
    <xf numFmtId="0" fontId="41" fillId="0" borderId="9" xfId="129" applyFont="1" applyFill="1" applyBorder="1" applyAlignment="1">
      <alignment horizontal="left" vertical="center" wrapText="1"/>
      <protection/>
    </xf>
    <xf numFmtId="0" fontId="43" fillId="0" borderId="9" xfId="129" applyFont="1" applyBorder="1" applyAlignment="1">
      <alignment/>
      <protection/>
    </xf>
    <xf numFmtId="49" fontId="43" fillId="0" borderId="0" xfId="126" applyNumberFormat="1" applyFont="1" applyFill="1" applyBorder="1" applyAlignment="1" applyProtection="1">
      <alignment horizontal="center" vertical="center" wrapText="1"/>
      <protection locked="0"/>
    </xf>
    <xf numFmtId="0" fontId="41" fillId="0" borderId="9" xfId="129" applyFont="1" applyFill="1" applyBorder="1" applyAlignment="1">
      <alignment horizontal="left"/>
      <protection/>
    </xf>
    <xf numFmtId="0" fontId="44" fillId="0" borderId="9" xfId="129" applyFont="1" applyFill="1" applyBorder="1" applyAlignment="1">
      <alignment horizontal="center"/>
      <protection/>
    </xf>
    <xf numFmtId="0" fontId="44" fillId="0" borderId="0" xfId="129" applyFont="1" applyFill="1" applyBorder="1" applyAlignment="1">
      <alignment horizontal="center"/>
      <protection/>
    </xf>
    <xf numFmtId="0" fontId="44" fillId="0" borderId="0" xfId="129" applyFont="1" applyFill="1" applyBorder="1" applyAlignment="1">
      <alignment horizontal="center"/>
      <protection/>
    </xf>
    <xf numFmtId="0" fontId="44" fillId="0" borderId="9" xfId="129" applyFont="1" applyFill="1" applyBorder="1" applyAlignment="1">
      <alignment vertical="center" wrapText="1"/>
      <protection/>
    </xf>
    <xf numFmtId="4" fontId="44" fillId="0" borderId="9" xfId="129" applyNumberFormat="1" applyFont="1" applyFill="1" applyBorder="1" applyAlignment="1">
      <alignment horizontal="center" vertical="center" wrapText="1"/>
      <protection/>
    </xf>
    <xf numFmtId="4" fontId="44" fillId="0" borderId="9" xfId="129" applyNumberFormat="1" applyFont="1" applyFill="1" applyBorder="1" applyAlignment="1">
      <alignment horizontal="center" vertical="center" wrapText="1"/>
      <protection/>
    </xf>
    <xf numFmtId="4" fontId="43" fillId="0" borderId="0" xfId="129" applyNumberFormat="1" applyFont="1" applyBorder="1" applyAlignment="1">
      <alignment/>
      <protection/>
    </xf>
    <xf numFmtId="4" fontId="44" fillId="0" borderId="0" xfId="129" applyNumberFormat="1" applyFont="1" applyFill="1" applyBorder="1" applyAlignment="1">
      <alignment horizontal="center" vertical="center" wrapText="1"/>
      <protection/>
    </xf>
    <xf numFmtId="4" fontId="43" fillId="0" borderId="0" xfId="129" applyNumberFormat="1" applyFont="1" applyAlignment="1">
      <alignment/>
      <protection/>
    </xf>
    <xf numFmtId="175" fontId="43" fillId="0" borderId="0" xfId="129" applyNumberFormat="1" applyFont="1" applyAlignment="1">
      <alignment/>
      <protection/>
    </xf>
    <xf numFmtId="0" fontId="0" fillId="0" borderId="0" xfId="0" applyFont="1" applyFill="1" applyBorder="1" applyAlignment="1">
      <alignment/>
    </xf>
    <xf numFmtId="4" fontId="44" fillId="0" borderId="0" xfId="129" applyNumberFormat="1" applyFont="1" applyFill="1" applyBorder="1" applyAlignment="1">
      <alignment horizontal="center" vertical="center" wrapText="1"/>
      <protection/>
    </xf>
    <xf numFmtId="177" fontId="43" fillId="0" borderId="0" xfId="129" applyNumberFormat="1" applyFont="1" applyAlignment="1">
      <alignment/>
      <protection/>
    </xf>
    <xf numFmtId="0" fontId="43" fillId="0" borderId="9" xfId="129" applyFont="1" applyFill="1" applyBorder="1" applyAlignment="1">
      <alignment/>
      <protection/>
    </xf>
    <xf numFmtId="4" fontId="43" fillId="0" borderId="0" xfId="129" applyNumberFormat="1" applyFont="1" applyAlignment="1">
      <alignment horizontal="right"/>
      <protection/>
    </xf>
    <xf numFmtId="4" fontId="41" fillId="0" borderId="9" xfId="129" applyNumberFormat="1" applyFont="1" applyFill="1" applyBorder="1" applyAlignment="1">
      <alignment horizontal="center" vertical="center" wrapText="1"/>
      <protection/>
    </xf>
    <xf numFmtId="4" fontId="41" fillId="0" borderId="0" xfId="129" applyNumberFormat="1" applyFont="1" applyFill="1" applyBorder="1" applyAlignment="1">
      <alignment horizontal="center" vertical="center" wrapText="1"/>
      <protection/>
    </xf>
    <xf numFmtId="0" fontId="43" fillId="0" borderId="0" xfId="129" applyFont="1" applyAlignment="1">
      <alignment horizontal="center"/>
      <protection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4" fontId="41" fillId="0" borderId="0" xfId="129" applyNumberFormat="1" applyFont="1" applyFill="1" applyBorder="1" applyAlignment="1">
      <alignment horizontal="center" vertical="center" wrapText="1"/>
      <protection/>
    </xf>
    <xf numFmtId="4" fontId="44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43" fillId="0" borderId="0" xfId="129" applyNumberFormat="1" applyFont="1" applyAlignment="1">
      <alignment/>
      <protection/>
    </xf>
    <xf numFmtId="0" fontId="43" fillId="0" borderId="0" xfId="129" applyFont="1" applyAlignment="1">
      <alignment horizontal="right"/>
      <protection/>
    </xf>
    <xf numFmtId="4" fontId="44" fillId="0" borderId="0" xfId="129" applyNumberFormat="1" applyFont="1" applyFill="1" applyBorder="1" applyAlignment="1">
      <alignment horizontal="center" vertical="center" wrapText="1"/>
      <protection/>
    </xf>
    <xf numFmtId="176" fontId="43" fillId="0" borderId="0" xfId="129" applyNumberFormat="1" applyFont="1" applyAlignment="1">
      <alignment horizontal="right"/>
      <protection/>
    </xf>
    <xf numFmtId="176" fontId="43" fillId="0" borderId="0" xfId="129" applyNumberFormat="1" applyFont="1" applyAlignment="1">
      <alignment/>
      <protection/>
    </xf>
    <xf numFmtId="0" fontId="44" fillId="0" borderId="0" xfId="129" applyFont="1" applyFill="1" applyBorder="1" applyAlignment="1">
      <alignment vertical="center" wrapText="1"/>
      <protection/>
    </xf>
    <xf numFmtId="175" fontId="44" fillId="0" borderId="0" xfId="129" applyNumberFormat="1" applyFont="1" applyFill="1" applyBorder="1" applyAlignment="1">
      <alignment horizontal="center" vertical="center" wrapText="1"/>
      <protection/>
    </xf>
    <xf numFmtId="0" fontId="44" fillId="0" borderId="0" xfId="129" applyFont="1" applyAlignment="1">
      <alignment/>
      <protection/>
    </xf>
    <xf numFmtId="4" fontId="44" fillId="0" borderId="0" xfId="129" applyNumberFormat="1" applyFont="1" applyAlignment="1">
      <alignment horizontal="center"/>
      <protection/>
    </xf>
    <xf numFmtId="4" fontId="44" fillId="0" borderId="0" xfId="129" applyNumberFormat="1" applyFont="1" applyFill="1" applyAlignment="1">
      <alignment horizontal="center"/>
      <protection/>
    </xf>
    <xf numFmtId="2" fontId="43" fillId="0" borderId="0" xfId="129" applyNumberFormat="1" applyFont="1" applyBorder="1" applyAlignment="1">
      <alignment horizontal="right"/>
      <protection/>
    </xf>
    <xf numFmtId="2" fontId="43" fillId="0" borderId="0" xfId="129" applyNumberFormat="1" applyFont="1" applyBorder="1" applyAlignment="1">
      <alignment horizontal="center"/>
      <protection/>
    </xf>
    <xf numFmtId="0" fontId="43" fillId="6" borderId="0" xfId="129" applyFont="1" applyFill="1" applyAlignment="1">
      <alignment/>
      <protection/>
    </xf>
    <xf numFmtId="0" fontId="41" fillId="0" borderId="9" xfId="129" applyFont="1" applyBorder="1" applyAlignment="1">
      <alignment horizontal="center" vertical="center" wrapText="1"/>
      <protection/>
    </xf>
    <xf numFmtId="0" fontId="41" fillId="0" borderId="0" xfId="129" applyFont="1" applyBorder="1" applyAlignment="1">
      <alignment horizontal="center" vertical="center" wrapText="1"/>
      <protection/>
    </xf>
    <xf numFmtId="0" fontId="41" fillId="0" borderId="0" xfId="129" applyFont="1">
      <alignment vertical="center"/>
      <protection/>
    </xf>
    <xf numFmtId="0" fontId="41" fillId="0" borderId="0" xfId="147" applyFont="1" applyBorder="1" applyAlignment="1">
      <alignment horizontal="center" vertical="center" wrapText="1" shrinkToFit="1"/>
      <protection/>
    </xf>
    <xf numFmtId="17" fontId="41" fillId="0" borderId="0" xfId="147" applyNumberFormat="1" applyFont="1" applyBorder="1" applyAlignment="1">
      <alignment horizontal="center" vertical="center" wrapText="1" shrinkToFit="1"/>
      <protection/>
    </xf>
    <xf numFmtId="4" fontId="41" fillId="0" borderId="9" xfId="147" applyNumberFormat="1" applyFont="1" applyBorder="1" applyAlignment="1">
      <alignment horizontal="center" vertical="center" wrapText="1"/>
      <protection/>
    </xf>
    <xf numFmtId="0" fontId="45" fillId="0" borderId="9" xfId="129" applyFont="1" applyBorder="1" applyAlignment="1">
      <alignment vertical="center" wrapText="1"/>
      <protection/>
    </xf>
    <xf numFmtId="4" fontId="47" fillId="0" borderId="0" xfId="16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4" fontId="41" fillId="0" borderId="9" xfId="147" applyNumberFormat="1" applyFont="1" applyFill="1" applyBorder="1" applyAlignment="1">
      <alignment horizontal="center" vertical="center" wrapText="1"/>
      <protection/>
    </xf>
    <xf numFmtId="4" fontId="41" fillId="0" borderId="0" xfId="147" applyNumberFormat="1" applyFont="1" applyBorder="1" applyAlignment="1">
      <alignment horizontal="center" vertical="center" wrapText="1"/>
      <protection/>
    </xf>
    <xf numFmtId="4" fontId="41" fillId="0" borderId="0" xfId="147" applyNumberFormat="1" applyFont="1" applyFill="1" applyBorder="1" applyAlignment="1">
      <alignment horizontal="center" vertical="center" wrapText="1"/>
      <protection/>
    </xf>
    <xf numFmtId="4" fontId="44" fillId="0" borderId="0" xfId="129" applyNumberFormat="1" applyFont="1" applyAlignment="1">
      <alignment horizontal="center" vertical="center"/>
      <protection/>
    </xf>
    <xf numFmtId="182" fontId="44" fillId="0" borderId="0" xfId="129" applyNumberFormat="1" applyFont="1">
      <alignment vertical="center"/>
      <protection/>
    </xf>
    <xf numFmtId="0" fontId="44" fillId="0" borderId="0" xfId="129" applyFont="1">
      <alignment vertical="center"/>
      <protection/>
    </xf>
    <xf numFmtId="0" fontId="41" fillId="0" borderId="9" xfId="129" applyFont="1" applyBorder="1">
      <alignment vertical="center"/>
      <protection/>
    </xf>
    <xf numFmtId="4" fontId="41" fillId="0" borderId="9" xfId="129" applyNumberFormat="1" applyFont="1" applyBorder="1" applyAlignment="1">
      <alignment horizontal="center" vertical="center" wrapText="1"/>
      <protection/>
    </xf>
    <xf numFmtId="4" fontId="41" fillId="0" borderId="0" xfId="129" applyNumberFormat="1" applyFont="1" applyBorder="1" applyAlignment="1">
      <alignment horizontal="center" vertical="center" wrapText="1"/>
      <protection/>
    </xf>
    <xf numFmtId="0" fontId="41" fillId="0" borderId="0" xfId="147" applyFont="1" applyBorder="1" applyAlignment="1">
      <alignment horizontal="center" vertical="center" wrapText="1"/>
      <protection/>
    </xf>
    <xf numFmtId="4" fontId="32" fillId="0" borderId="0" xfId="129" applyNumberFormat="1">
      <alignment vertical="center"/>
      <protection/>
    </xf>
    <xf numFmtId="4" fontId="32" fillId="0" borderId="0" xfId="129" applyNumberFormat="1" applyFill="1">
      <alignment vertical="center"/>
      <protection/>
    </xf>
    <xf numFmtId="2" fontId="32" fillId="0" borderId="0" xfId="129" applyNumberFormat="1">
      <alignment vertical="center"/>
      <protection/>
    </xf>
    <xf numFmtId="2" fontId="32" fillId="0" borderId="0" xfId="129" applyNumberFormat="1" applyFill="1">
      <alignment vertical="center"/>
      <protection/>
    </xf>
    <xf numFmtId="182" fontId="32" fillId="0" borderId="0" xfId="129" applyNumberFormat="1" applyAlignment="1">
      <alignment horizontal="center" vertical="center"/>
      <protection/>
    </xf>
    <xf numFmtId="0" fontId="46" fillId="0" borderId="0" xfId="129" applyFont="1" applyAlignment="1">
      <alignment vertical="center" wrapText="1"/>
      <protection/>
    </xf>
    <xf numFmtId="182" fontId="44" fillId="0" borderId="9" xfId="129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7" fillId="0" borderId="0" xfId="0" applyFont="1" applyFill="1" applyAlignment="1">
      <alignment wrapText="1"/>
    </xf>
    <xf numFmtId="0" fontId="48" fillId="0" borderId="0" xfId="0" applyFont="1" applyAlignment="1">
      <alignment horizontal="right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wrapText="1"/>
    </xf>
    <xf numFmtId="0" fontId="48" fillId="0" borderId="9" xfId="0" applyFont="1" applyBorder="1" applyAlignment="1">
      <alignment wrapText="1"/>
    </xf>
    <xf numFmtId="172" fontId="47" fillId="0" borderId="9" xfId="0" applyNumberFormat="1" applyFont="1" applyFill="1" applyBorder="1" applyAlignment="1">
      <alignment horizontal="center" vertical="center" wrapText="1"/>
    </xf>
    <xf numFmtId="172" fontId="47" fillId="0" borderId="9" xfId="150" applyNumberFormat="1" applyFont="1" applyFill="1" applyBorder="1" applyAlignment="1">
      <alignment horizontal="center" vertical="center"/>
      <protection/>
    </xf>
    <xf numFmtId="4" fontId="48" fillId="0" borderId="9" xfId="150" applyNumberFormat="1" applyFont="1" applyFill="1" applyBorder="1" applyAlignment="1">
      <alignment horizontal="center" vertical="center"/>
      <protection/>
    </xf>
    <xf numFmtId="4" fontId="47" fillId="0" borderId="9" xfId="150" applyNumberFormat="1" applyFont="1" applyFill="1" applyBorder="1" applyAlignment="1">
      <alignment horizontal="center" vertical="center"/>
      <protection/>
    </xf>
    <xf numFmtId="172" fontId="47" fillId="0" borderId="0" xfId="0" applyNumberFormat="1" applyFont="1" applyFill="1" applyBorder="1" applyAlignment="1">
      <alignment wrapText="1"/>
    </xf>
    <xf numFmtId="0" fontId="47" fillId="0" borderId="0" xfId="0" applyFont="1" applyFill="1" applyBorder="1" applyAlignment="1">
      <alignment wrapText="1"/>
    </xf>
    <xf numFmtId="173" fontId="47" fillId="0" borderId="0" xfId="0" applyNumberFormat="1" applyFont="1" applyFill="1" applyBorder="1" applyAlignment="1">
      <alignment wrapText="1"/>
    </xf>
    <xf numFmtId="2" fontId="47" fillId="0" borderId="0" xfId="0" applyNumberFormat="1" applyFont="1" applyFill="1" applyBorder="1" applyAlignment="1">
      <alignment wrapText="1"/>
    </xf>
    <xf numFmtId="174" fontId="47" fillId="0" borderId="0" xfId="0" applyNumberFormat="1" applyFont="1" applyFill="1" applyBorder="1" applyAlignment="1">
      <alignment wrapText="1"/>
    </xf>
    <xf numFmtId="0" fontId="51" fillId="0" borderId="9" xfId="0" applyFont="1" applyBorder="1" applyAlignment="1">
      <alignment wrapText="1"/>
    </xf>
    <xf numFmtId="172" fontId="48" fillId="0" borderId="9" xfId="0" applyNumberFormat="1" applyFont="1" applyFill="1" applyBorder="1" applyAlignment="1">
      <alignment horizontal="center" wrapText="1"/>
    </xf>
    <xf numFmtId="4" fontId="48" fillId="0" borderId="9" xfId="0" applyNumberFormat="1" applyFont="1" applyFill="1" applyBorder="1" applyAlignment="1">
      <alignment horizontal="center" wrapText="1"/>
    </xf>
    <xf numFmtId="4" fontId="47" fillId="0" borderId="9" xfId="0" applyNumberFormat="1" applyFont="1" applyFill="1" applyBorder="1" applyAlignment="1">
      <alignment horizontal="center" wrapText="1"/>
    </xf>
    <xf numFmtId="4" fontId="47" fillId="0" borderId="9" xfId="0" applyNumberFormat="1" applyFont="1" applyBorder="1" applyAlignment="1">
      <alignment horizontal="center" wrapText="1"/>
    </xf>
    <xf numFmtId="0" fontId="48" fillId="0" borderId="9" xfId="0" applyFont="1" applyFill="1" applyBorder="1" applyAlignment="1">
      <alignment wrapText="1"/>
    </xf>
    <xf numFmtId="172" fontId="43" fillId="0" borderId="0" xfId="0" applyNumberFormat="1" applyFont="1" applyFill="1" applyBorder="1" applyAlignment="1">
      <alignment wrapText="1"/>
    </xf>
    <xf numFmtId="4" fontId="47" fillId="0" borderId="0" xfId="0" applyNumberFormat="1" applyFont="1" applyFill="1" applyBorder="1" applyAlignment="1">
      <alignment wrapText="1"/>
    </xf>
    <xf numFmtId="4" fontId="48" fillId="0" borderId="9" xfId="0" applyNumberFormat="1" applyFont="1" applyBorder="1" applyAlignment="1">
      <alignment horizontal="center" wrapText="1"/>
    </xf>
    <xf numFmtId="0" fontId="51" fillId="0" borderId="9" xfId="0" applyFont="1" applyFill="1" applyBorder="1" applyAlignment="1">
      <alignment wrapText="1"/>
    </xf>
    <xf numFmtId="0" fontId="48" fillId="0" borderId="0" xfId="0" applyFont="1" applyAlignment="1">
      <alignment wrapText="1"/>
    </xf>
    <xf numFmtId="4" fontId="47" fillId="0" borderId="0" xfId="0" applyNumberFormat="1" applyFont="1" applyFill="1" applyAlignment="1">
      <alignment wrapText="1"/>
    </xf>
    <xf numFmtId="182" fontId="47" fillId="0" borderId="0" xfId="0" applyNumberFormat="1" applyFont="1" applyFill="1" applyAlignment="1">
      <alignment wrapText="1"/>
    </xf>
    <xf numFmtId="175" fontId="47" fillId="0" borderId="0" xfId="0" applyNumberFormat="1" applyFont="1" applyAlignment="1">
      <alignment wrapText="1"/>
    </xf>
    <xf numFmtId="4" fontId="47" fillId="0" borderId="0" xfId="0" applyNumberFormat="1" applyFont="1" applyAlignment="1">
      <alignment wrapText="1"/>
    </xf>
    <xf numFmtId="4" fontId="47" fillId="0" borderId="0" xfId="160" applyNumberFormat="1" applyFont="1" applyFill="1" applyBorder="1" applyAlignment="1">
      <alignment wrapText="1"/>
    </xf>
    <xf numFmtId="4" fontId="48" fillId="0" borderId="0" xfId="0" applyNumberFormat="1" applyFont="1" applyFill="1" applyAlignment="1">
      <alignment wrapText="1"/>
    </xf>
    <xf numFmtId="0" fontId="47" fillId="0" borderId="0" xfId="0" applyFont="1" applyFill="1" applyAlignment="1">
      <alignment horizontal="left" wrapText="1"/>
    </xf>
    <xf numFmtId="175" fontId="47" fillId="0" borderId="0" xfId="0" applyNumberFormat="1" applyFont="1" applyFill="1" applyAlignment="1">
      <alignment horizontal="right" wrapText="1"/>
    </xf>
    <xf numFmtId="4" fontId="47" fillId="0" borderId="0" xfId="160" applyNumberFormat="1" applyFont="1" applyFill="1" applyBorder="1" applyAlignment="1">
      <alignment horizontal="right" wrapText="1"/>
    </xf>
    <xf numFmtId="4" fontId="47" fillId="0" borderId="0" xfId="0" applyNumberFormat="1" applyFont="1" applyBorder="1" applyAlignment="1">
      <alignment wrapText="1"/>
    </xf>
    <xf numFmtId="0" fontId="47" fillId="0" borderId="0" xfId="0" applyFont="1" applyBorder="1" applyAlignment="1">
      <alignment wrapText="1"/>
    </xf>
    <xf numFmtId="4" fontId="47" fillId="0" borderId="0" xfId="0" applyNumberFormat="1" applyFont="1" applyFill="1" applyBorder="1" applyAlignment="1">
      <alignment wrapText="1"/>
    </xf>
    <xf numFmtId="2" fontId="41" fillId="0" borderId="0" xfId="129" applyNumberFormat="1" applyFont="1" applyAlignment="1">
      <alignment horizontal="right" vertical="center" wrapText="1"/>
      <protection/>
    </xf>
    <xf numFmtId="2" fontId="43" fillId="0" borderId="9" xfId="0" applyNumberFormat="1" applyFont="1" applyFill="1" applyBorder="1" applyAlignment="1">
      <alignment horizontal="center" vertical="center" wrapText="1"/>
    </xf>
    <xf numFmtId="1" fontId="43" fillId="0" borderId="16" xfId="0" applyNumberFormat="1" applyFont="1" applyBorder="1" applyAlignment="1">
      <alignment horizontal="center" vertical="center" wrapText="1"/>
    </xf>
    <xf numFmtId="2" fontId="43" fillId="0" borderId="9" xfId="0" applyNumberFormat="1" applyFont="1" applyBorder="1" applyAlignment="1">
      <alignment wrapText="1"/>
    </xf>
    <xf numFmtId="4" fontId="43" fillId="0" borderId="9" xfId="0" applyNumberFormat="1" applyFont="1" applyBorder="1" applyAlignment="1">
      <alignment horizontal="center" vertical="center" wrapText="1"/>
    </xf>
    <xf numFmtId="177" fontId="43" fillId="0" borderId="9" xfId="0" applyNumberFormat="1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right" wrapText="1"/>
    </xf>
    <xf numFmtId="0" fontId="44" fillId="0" borderId="9" xfId="129" applyFont="1" applyBorder="1" applyAlignment="1">
      <alignment horizontal="center"/>
      <protection/>
    </xf>
    <xf numFmtId="49" fontId="4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wrapText="1"/>
    </xf>
    <xf numFmtId="4" fontId="47" fillId="0" borderId="0" xfId="16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1" fillId="0" borderId="0" xfId="129" applyFont="1" applyAlignment="1">
      <alignment horizontal="right" vertical="center" wrapText="1"/>
      <protection/>
    </xf>
    <xf numFmtId="0" fontId="42" fillId="0" borderId="0" xfId="129" applyFont="1" applyBorder="1" applyAlignment="1">
      <alignment horizontal="center"/>
      <protection/>
    </xf>
    <xf numFmtId="175" fontId="44" fillId="0" borderId="0" xfId="129" applyNumberFormat="1" applyFont="1" applyFill="1" applyBorder="1" applyAlignment="1">
      <alignment horizontal="center" vertical="center" wrapText="1"/>
      <protection/>
    </xf>
    <xf numFmtId="0" fontId="44" fillId="0" borderId="9" xfId="129" applyFont="1" applyBorder="1" applyAlignment="1">
      <alignment horizontal="center" vertical="center" wrapText="1"/>
      <protection/>
    </xf>
    <xf numFmtId="0" fontId="42" fillId="0" borderId="0" xfId="129" applyFont="1" applyBorder="1" applyAlignment="1">
      <alignment horizontal="center" vertical="center"/>
      <protection/>
    </xf>
    <xf numFmtId="0" fontId="44" fillId="0" borderId="17" xfId="129" applyFont="1" applyBorder="1" applyAlignment="1">
      <alignment horizontal="center"/>
      <protection/>
    </xf>
    <xf numFmtId="0" fontId="44" fillId="0" borderId="18" xfId="129" applyFont="1" applyBorder="1" applyAlignment="1">
      <alignment horizontal="center"/>
      <protection/>
    </xf>
    <xf numFmtId="0" fontId="44" fillId="0" borderId="19" xfId="129" applyFont="1" applyBorder="1" applyAlignment="1">
      <alignment horizontal="center"/>
      <protection/>
    </xf>
    <xf numFmtId="49" fontId="4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vertical="center" wrapText="1"/>
    </xf>
    <xf numFmtId="4" fontId="41" fillId="0" borderId="9" xfId="147" applyNumberFormat="1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43" fillId="0" borderId="9" xfId="129" applyFont="1" applyBorder="1" applyAlignment="1">
      <alignment horizontal="center" vertical="center" wrapText="1" shrinkToFit="1"/>
      <protection/>
    </xf>
    <xf numFmtId="49" fontId="43" fillId="0" borderId="9" xfId="126" applyNumberFormat="1" applyFont="1" applyFill="1" applyBorder="1" applyAlignment="1" applyProtection="1">
      <alignment horizontal="center" vertical="center" wrapText="1"/>
      <protection locked="0"/>
    </xf>
    <xf numFmtId="0" fontId="41" fillId="0" borderId="9" xfId="129" applyFont="1" applyBorder="1" applyAlignment="1">
      <alignment horizontal="center" vertical="center" wrapText="1"/>
      <protection/>
    </xf>
    <xf numFmtId="4" fontId="44" fillId="0" borderId="17" xfId="129" applyNumberFormat="1" applyFont="1" applyFill="1" applyBorder="1" applyAlignment="1">
      <alignment horizontal="center" vertical="center" wrapText="1"/>
      <protection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41" fillId="0" borderId="0" xfId="129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1" fillId="0" borderId="17" xfId="129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1" fillId="0" borderId="18" xfId="129" applyFont="1" applyBorder="1" applyAlignment="1">
      <alignment horizontal="center" vertical="center" wrapText="1"/>
      <protection/>
    </xf>
    <xf numFmtId="0" fontId="44" fillId="0" borderId="0" xfId="129" applyFont="1" applyAlignment="1">
      <alignment horizontal="right" vertical="center" wrapText="1"/>
      <protection/>
    </xf>
    <xf numFmtId="0" fontId="42" fillId="0" borderId="0" xfId="129" applyFont="1" applyBorder="1" applyAlignment="1">
      <alignment horizontal="center" wrapText="1"/>
      <protection/>
    </xf>
    <xf numFmtId="0" fontId="49" fillId="0" borderId="0" xfId="0" applyFont="1" applyAlignment="1">
      <alignment horizont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2" fontId="43" fillId="0" borderId="9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vertical="top" wrapText="1"/>
    </xf>
    <xf numFmtId="0" fontId="0" fillId="0" borderId="0" xfId="0" applyAlignment="1">
      <alignment/>
    </xf>
    <xf numFmtId="2" fontId="43" fillId="0" borderId="17" xfId="0" applyNumberFormat="1" applyFont="1" applyBorder="1" applyAlignment="1">
      <alignment horizontal="center" vertical="center" wrapText="1"/>
    </xf>
    <xf numFmtId="2" fontId="43" fillId="0" borderId="18" xfId="0" applyNumberFormat="1" applyFont="1" applyBorder="1" applyAlignment="1">
      <alignment horizontal="center" vertical="center" wrapText="1"/>
    </xf>
    <xf numFmtId="2" fontId="43" fillId="0" borderId="19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3" fillId="0" borderId="15" xfId="0" applyNumberFormat="1" applyFont="1" applyBorder="1" applyAlignment="1">
      <alignment horizontal="center" vertical="center" wrapText="1"/>
    </xf>
    <xf numFmtId="2" fontId="43" fillId="0" borderId="26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5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— акцент1" xfId="31"/>
    <cellStyle name="20% - Акцент2" xfId="32"/>
    <cellStyle name="20% — акцент2" xfId="33"/>
    <cellStyle name="20% - Акцент3" xfId="34"/>
    <cellStyle name="20% — акцент3" xfId="35"/>
    <cellStyle name="20% - Акцент4" xfId="36"/>
    <cellStyle name="20% — акцент4" xfId="37"/>
    <cellStyle name="20% - Акцент5" xfId="38"/>
    <cellStyle name="20% — акцент5" xfId="39"/>
    <cellStyle name="20% - Акцент6" xfId="40"/>
    <cellStyle name="20% — акцент6" xfId="41"/>
    <cellStyle name="40% - Акцент1" xfId="42"/>
    <cellStyle name="40% — акцент1" xfId="43"/>
    <cellStyle name="40% - Акцент2" xfId="44"/>
    <cellStyle name="40% — акцент2" xfId="45"/>
    <cellStyle name="40% - Акцент3" xfId="46"/>
    <cellStyle name="40% — акцент3" xfId="47"/>
    <cellStyle name="40% - Акцент4" xfId="48"/>
    <cellStyle name="40% — акцент4" xfId="49"/>
    <cellStyle name="40% - Акцент5" xfId="50"/>
    <cellStyle name="40% — акцент5" xfId="51"/>
    <cellStyle name="40% - Акцент6" xfId="52"/>
    <cellStyle name="40% — акцент6" xfId="53"/>
    <cellStyle name="60% - Акцент1" xfId="54"/>
    <cellStyle name="60% — акцент1" xfId="55"/>
    <cellStyle name="60% - Акцент2" xfId="56"/>
    <cellStyle name="60% — акцент2" xfId="57"/>
    <cellStyle name="60% - Акцент3" xfId="58"/>
    <cellStyle name="60% — акцент3" xfId="59"/>
    <cellStyle name="60% - Акцент4" xfId="60"/>
    <cellStyle name="60% — акцент4" xfId="61"/>
    <cellStyle name="60% - Акцент5" xfId="62"/>
    <cellStyle name="60% — акцент5" xfId="63"/>
    <cellStyle name="60% - Акцент6" xfId="64"/>
    <cellStyle name="60% — акцент6" xfId="65"/>
    <cellStyle name="Action" xfId="66"/>
    <cellStyle name="Cells" xfId="67"/>
    <cellStyle name="Cells 2" xfId="68"/>
    <cellStyle name="Cells_TEPLO.PREDEL.2016.M(v1.0)" xfId="69"/>
    <cellStyle name="Currency [0]" xfId="70"/>
    <cellStyle name="currency1" xfId="71"/>
    <cellStyle name="Currency2" xfId="72"/>
    <cellStyle name="currency3" xfId="73"/>
    <cellStyle name="currency4" xfId="74"/>
    <cellStyle name="DblClick" xfId="75"/>
    <cellStyle name="Followed Hyperlink" xfId="76"/>
    <cellStyle name="Formuls" xfId="77"/>
    <cellStyle name="Header" xfId="78"/>
    <cellStyle name="Header 3" xfId="79"/>
    <cellStyle name="Header_TEPLO.PREDEL.2016.M(v1.0)" xfId="80"/>
    <cellStyle name="Hyperlink" xfId="81"/>
    <cellStyle name="normal" xfId="82"/>
    <cellStyle name="Normal1" xfId="83"/>
    <cellStyle name="Normal2" xfId="84"/>
    <cellStyle name="Percent1" xfId="85"/>
    <cellStyle name="Title" xfId="86"/>
    <cellStyle name="Title 2" xfId="87"/>
    <cellStyle name="Title 4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Hyperlink" xfId="98"/>
    <cellStyle name="Гиперссылка 2" xfId="99"/>
    <cellStyle name="Гиперссылка 2 2" xfId="100"/>
    <cellStyle name="Гиперссылка 3" xfId="101"/>
    <cellStyle name="Гиперссылка 4" xfId="102"/>
    <cellStyle name="Гиперссылка 5" xfId="103"/>
    <cellStyle name="Гиперссылка 6" xfId="104"/>
    <cellStyle name="Currency" xfId="105"/>
    <cellStyle name="Currency [0]" xfId="106"/>
    <cellStyle name="Заголовок" xfId="107"/>
    <cellStyle name="Заголовок 1" xfId="108"/>
    <cellStyle name="Заголовок 2" xfId="109"/>
    <cellStyle name="Заголовок 3" xfId="110"/>
    <cellStyle name="Заголовок 4" xfId="111"/>
    <cellStyle name="ЗаголовокСтолбца" xfId="112"/>
    <cellStyle name="Значение" xfId="113"/>
    <cellStyle name="Итог" xfId="114"/>
    <cellStyle name="Контрольная ячейка" xfId="115"/>
    <cellStyle name="Название" xfId="116"/>
    <cellStyle name="Нейтральный" xfId="117"/>
    <cellStyle name="Обычный 10" xfId="118"/>
    <cellStyle name="Обычный 10 2" xfId="119"/>
    <cellStyle name="Обычный 12" xfId="120"/>
    <cellStyle name="Обычный 12 2" xfId="121"/>
    <cellStyle name="Обычный 12 3 2" xfId="122"/>
    <cellStyle name="Обычный 14" xfId="123"/>
    <cellStyle name="Обычный 14 2" xfId="124"/>
    <cellStyle name="Обычный 14_UPDATE.WARM.CALC.INDEX.2015.TO.1.2.3" xfId="125"/>
    <cellStyle name="Обычный 2" xfId="126"/>
    <cellStyle name="Обычный 2 10 2" xfId="127"/>
    <cellStyle name="Обычный 2 2" xfId="128"/>
    <cellStyle name="Обычный 2 2 2" xfId="129"/>
    <cellStyle name="Обычный 2 2_масимум" xfId="130"/>
    <cellStyle name="Обычный 2 3" xfId="131"/>
    <cellStyle name="Обычный 2 6" xfId="132"/>
    <cellStyle name="Обычный 2 7" xfId="133"/>
    <cellStyle name="Обычный 2 8" xfId="134"/>
    <cellStyle name="Обычный 2_13 09 24 Баланс (3)" xfId="135"/>
    <cellStyle name="Обычный 20" xfId="136"/>
    <cellStyle name="Обычный 21" xfId="137"/>
    <cellStyle name="Обычный 22" xfId="138"/>
    <cellStyle name="Обычный 23" xfId="139"/>
    <cellStyle name="Обычный 3" xfId="140"/>
    <cellStyle name="Обычный 3 2" xfId="141"/>
    <cellStyle name="Обычный 3 3" xfId="142"/>
    <cellStyle name="Обычный 3 3 2" xfId="143"/>
    <cellStyle name="Обычный 4" xfId="144"/>
    <cellStyle name="Обычный 4 2" xfId="145"/>
    <cellStyle name="Обычный 4_test_расчет тепловой энергии - для разработки 30 03 11" xfId="146"/>
    <cellStyle name="Обычный 5" xfId="147"/>
    <cellStyle name="Обычный 5 5 2" xfId="148"/>
    <cellStyle name="Обычный 5_масимум" xfId="149"/>
    <cellStyle name="Обычный_Лист1_Рсчет расходов на потери" xfId="150"/>
    <cellStyle name="Followed Hyperlink" xfId="151"/>
    <cellStyle name="Плохой" xfId="152"/>
    <cellStyle name="Пояснение" xfId="153"/>
    <cellStyle name="Примечание" xfId="154"/>
    <cellStyle name="Percent" xfId="155"/>
    <cellStyle name="Процентный 3 2" xfId="156"/>
    <cellStyle name="Связанная ячейка" xfId="157"/>
    <cellStyle name="Стиль 1" xfId="158"/>
    <cellStyle name="Текст предупреждения" xfId="159"/>
    <cellStyle name="Comma" xfId="160"/>
    <cellStyle name="Comma [0]" xfId="161"/>
    <cellStyle name="Финансовый 2" xfId="162"/>
    <cellStyle name="Формула" xfId="163"/>
    <cellStyle name="ФормулаВБ_Мониторинг инвестиций" xfId="164"/>
    <cellStyle name="ФормулаНаКонтроль" xfId="165"/>
    <cellStyle name="Хороший" xfId="1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&#1087;&#1088;&#1080;&#1083;%20%203%20&#1080;%204%20&#1082;%20&#1087;&#1088;&#1086;&#1090;&#1086;&#1082;&#1086;&#1083;&#109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fimova\AppData\Local\Microsoft\Windows\Temporary%20Internet%20Files\OLK477B\&#1058;&#1072;&#1073;&#1083;&#1080;&#1094;&#1072;%20&#1085;&#1072;%202018%20&#1075;&#1086;&#1076;%20(&#1087;&#1077;&#1088;&#1077;&#1088;%20%20&#1089;%2001%2004%20201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&#1088;&#1077;&#1075;&#1091;&#1083;&#1080;&#1088;&#1086;&#1074;&#1072;&#1085;&#1080;&#1077;\&#1056;&#1077;&#1075;&#1091;&#1083;&#1080;&#1088;&#1086;&#1074;&#1072;&#1085;&#1080;&#1077;%20&#1085;&#1072;%202018\&#1047;&#1072;&#1082;&#1083;&#1102;&#1095;&#1077;&#1085;&#1080;&#1103;%20&#1043;&#1055;\&#1087;&#1086;&#1090;&#1077;&#1088;&#1080;%20&#1087;&#1086;&#1084;&#1077;&#1089;&#1103;&#1095;&#1085;&#1086;%20&#1087;&#1086;%20&#1043;&#1055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bazanova\Local%20Settings\Temporary%20Internet%20Files\OLK1FE\&#1088;&#1077;&#1075;&#1091;&#1083;&#1080;&#1088;&#1086;&#1074;&#1072;&#1085;&#1080;&#1077;\&#1056;&#1077;&#1075;&#1091;&#1083;&#1080;&#1088;&#1086;&#1074;&#1072;&#1085;&#1080;&#1077;%20&#1085;&#1072;%202018\&#1047;&#1072;&#1082;&#1083;&#1102;&#1095;&#1077;&#1085;&#1080;&#1103;%20&#1043;&#1055;\&#1055;&#1054;%20&#1087;&#1086;%20&#1088;&#1077;&#1075;&#1080;&#1086;&#1085;&#109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3"/>
      <sheetName val="прил 3 испр"/>
      <sheetName val="прил 4"/>
      <sheetName val="прил. 5"/>
      <sheetName val="прил 3 испр (с 01.08.)"/>
      <sheetName val="прил 4 (28.07)"/>
      <sheetName val="прил 4 (испр)"/>
    </sheetNames>
    <sheetDataSet>
      <sheetData sheetId="1">
        <row r="26">
          <cell r="C26">
            <v>1402.819193225754</v>
          </cell>
          <cell r="D26">
            <v>81.44497656887751</v>
          </cell>
          <cell r="E26">
            <v>382.978675614396</v>
          </cell>
          <cell r="F26">
            <v>464.5605916025079</v>
          </cell>
          <cell r="H26">
            <v>252.07047770604515</v>
          </cell>
          <cell r="I26">
            <v>459.2937094771471</v>
          </cell>
          <cell r="J26">
            <v>240.43966756993544</v>
          </cell>
          <cell r="K26">
            <v>16.74184381281478</v>
          </cell>
          <cell r="L26">
            <v>31.672998458282247</v>
          </cell>
          <cell r="M26">
            <v>4366.762731577133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арифа на потери"/>
      <sheetName val="Расчет тарифа на потери 2"/>
      <sheetName val="Расчет тарифа на потери ИТОГ"/>
      <sheetName val="расчет инд. тарифов"/>
      <sheetName val="прил. 2"/>
      <sheetName val="прил 3"/>
      <sheetName val="прил 4"/>
      <sheetName val="прил 5"/>
    </sheetNames>
    <sheetDataSet>
      <sheetData sheetId="2">
        <row r="7">
          <cell r="C7">
            <v>2252.80823399565</v>
          </cell>
          <cell r="D7">
            <v>1319.4391837386752</v>
          </cell>
          <cell r="E7">
            <v>1565.401254195783</v>
          </cell>
        </row>
        <row r="19">
          <cell r="C19">
            <v>1759.22823399565</v>
          </cell>
          <cell r="D19">
            <v>791.5646385910851</v>
          </cell>
          <cell r="E19">
            <v>1138.765886438595</v>
          </cell>
        </row>
        <row r="25">
          <cell r="C25">
            <v>1759.22823399565</v>
          </cell>
          <cell r="D25">
            <v>948.6808698347841</v>
          </cell>
          <cell r="E25">
            <v>991.373923274813</v>
          </cell>
        </row>
        <row r="31">
          <cell r="C31">
            <v>6076.980720074221</v>
          </cell>
          <cell r="D31">
            <v>4107.6444365976</v>
          </cell>
          <cell r="E31">
            <v>5321.727460335441</v>
          </cell>
        </row>
        <row r="37">
          <cell r="C37">
            <v>1749.22823399565</v>
          </cell>
          <cell r="D37">
            <v>783.7636325489831</v>
          </cell>
          <cell r="E37">
            <v>906.3405750213379</v>
          </cell>
        </row>
      </sheetData>
      <sheetData sheetId="3">
        <row r="53">
          <cell r="C53">
            <v>357217.079981634</v>
          </cell>
          <cell r="D53">
            <v>643.9679154507023</v>
          </cell>
          <cell r="E53">
            <v>3.24</v>
          </cell>
          <cell r="F53">
            <v>357217.079981634</v>
          </cell>
          <cell r="H53">
            <v>3.0738136769055266</v>
          </cell>
          <cell r="I53">
            <v>357217.079981634</v>
          </cell>
          <cell r="J53">
            <v>544.2853240826929</v>
          </cell>
          <cell r="K53">
            <v>3.5284863134111855</v>
          </cell>
        </row>
        <row r="54">
          <cell r="C54">
            <v>35930.05140665029</v>
          </cell>
          <cell r="D54">
            <v>290.8694143394946</v>
          </cell>
          <cell r="E54">
            <v>0.62</v>
          </cell>
          <cell r="F54">
            <v>35930.05140665029</v>
          </cell>
          <cell r="H54">
            <v>0.4958443260900983</v>
          </cell>
          <cell r="I54">
            <v>35930.05140665029</v>
          </cell>
          <cell r="J54">
            <v>165.66750275869333</v>
          </cell>
          <cell r="K54">
            <v>0.5183832287316515</v>
          </cell>
        </row>
        <row r="55">
          <cell r="C55">
            <v>34130.39204791145</v>
          </cell>
          <cell r="D55">
            <v>25.367917342867617</v>
          </cell>
          <cell r="E55">
            <v>0.39</v>
          </cell>
          <cell r="F55">
            <v>34130.39204791145</v>
          </cell>
          <cell r="H55">
            <v>0.38560988380206973</v>
          </cell>
          <cell r="I55">
            <v>34130.39204791145</v>
          </cell>
          <cell r="J55">
            <v>14.01412403044907</v>
          </cell>
          <cell r="K55">
            <v>0.3574853735364029</v>
          </cell>
        </row>
        <row r="56">
          <cell r="C56">
            <v>13487.687265917602</v>
          </cell>
          <cell r="D56">
            <v>415.9269728923402</v>
          </cell>
          <cell r="E56">
            <v>3.04</v>
          </cell>
          <cell r="F56">
            <v>13487.687265917602</v>
          </cell>
          <cell r="H56">
            <v>2.8242567750486227</v>
          </cell>
          <cell r="I56">
            <v>13487.687265917602</v>
          </cell>
          <cell r="J56">
            <v>216.45974776716795</v>
          </cell>
          <cell r="K56">
            <v>2.9320814431362705</v>
          </cell>
        </row>
        <row r="57">
          <cell r="C57">
            <v>116396.93934646099</v>
          </cell>
          <cell r="D57">
            <v>751.850858589062</v>
          </cell>
          <cell r="E57">
            <v>4.14</v>
          </cell>
          <cell r="F57">
            <v>117967.55576143181</v>
          </cell>
          <cell r="H57">
            <v>3.8532584770427287</v>
          </cell>
          <cell r="I57">
            <v>117967.55576143181</v>
          </cell>
          <cell r="J57">
            <v>522.4360685667513</v>
          </cell>
          <cell r="K57">
            <v>3.9588176280445624</v>
          </cell>
        </row>
        <row r="58">
          <cell r="C58">
            <v>40570.91007374802</v>
          </cell>
          <cell r="D58">
            <v>143.68380628447903</v>
          </cell>
          <cell r="E58">
            <v>0.57</v>
          </cell>
          <cell r="F58">
            <v>40570.91007374802</v>
          </cell>
          <cell r="H58">
            <v>0.5024567169698152</v>
          </cell>
          <cell r="I58">
            <v>40570.91007374802</v>
          </cell>
          <cell r="J58">
            <v>85.4077927579628</v>
          </cell>
          <cell r="K58">
            <v>0.5112673933686916</v>
          </cell>
        </row>
      </sheetData>
      <sheetData sheetId="4">
        <row r="17">
          <cell r="D17">
            <v>1727766.8377624326</v>
          </cell>
          <cell r="E17">
            <v>1745243.7078231736</v>
          </cell>
        </row>
        <row r="18">
          <cell r="D18">
            <v>288.36</v>
          </cell>
          <cell r="E18">
            <v>743.63</v>
          </cell>
        </row>
        <row r="19">
          <cell r="J19">
            <v>1539.9210476000007</v>
          </cell>
        </row>
        <row r="25">
          <cell r="D25">
            <v>1574064.6443173245</v>
          </cell>
          <cell r="E25">
            <v>1670128.395</v>
          </cell>
        </row>
        <row r="26">
          <cell r="D26">
            <v>175.52987503909515</v>
          </cell>
          <cell r="E26">
            <v>444.6710680534616</v>
          </cell>
        </row>
        <row r="27">
          <cell r="G27">
            <v>1539.9210476000007</v>
          </cell>
        </row>
        <row r="33">
          <cell r="D33">
            <v>1596666.2658100002</v>
          </cell>
          <cell r="E33">
            <v>1663433.1723046529</v>
          </cell>
        </row>
        <row r="34">
          <cell r="D34">
            <v>204.136302044895</v>
          </cell>
          <cell r="E34">
            <v>530.3686399138141</v>
          </cell>
        </row>
        <row r="35">
          <cell r="J35">
            <v>1488.9248660771962</v>
          </cell>
        </row>
      </sheetData>
      <sheetData sheetId="5">
        <row r="9">
          <cell r="B9">
            <v>0.15825</v>
          </cell>
          <cell r="C9">
            <v>0.045</v>
          </cell>
          <cell r="D9">
            <v>0.25</v>
          </cell>
        </row>
        <row r="10">
          <cell r="B10">
            <v>0.11082038825030667</v>
          </cell>
          <cell r="C10">
            <v>0.02893307261597344</v>
          </cell>
          <cell r="D10">
            <v>0.1431389873267454</v>
          </cell>
        </row>
        <row r="17">
          <cell r="B17">
            <v>0.15825</v>
          </cell>
          <cell r="C17">
            <v>0.045</v>
          </cell>
          <cell r="D17">
            <v>0.25</v>
          </cell>
        </row>
        <row r="18">
          <cell r="B18">
            <v>0.11082038825030666</v>
          </cell>
          <cell r="C18">
            <v>0.028933072615973436</v>
          </cell>
          <cell r="D18">
            <v>0.142948512929042</v>
          </cell>
        </row>
        <row r="25">
          <cell r="B25">
            <v>0.3165</v>
          </cell>
          <cell r="C25">
            <v>0.09</v>
          </cell>
          <cell r="D25">
            <v>0.5</v>
          </cell>
        </row>
        <row r="26">
          <cell r="B26">
            <v>0.10830658209094676</v>
          </cell>
          <cell r="C26">
            <v>0.02827674915696239</v>
          </cell>
          <cell r="D26">
            <v>0.14330140209287134</v>
          </cell>
        </row>
        <row r="34">
          <cell r="E34">
            <v>4467.627453598096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">
          <cell r="E14">
            <v>0.04203582765010584</v>
          </cell>
          <cell r="F14">
            <v>0.03828928616903393</v>
          </cell>
          <cell r="G14">
            <v>0.03615875844199573</v>
          </cell>
        </row>
        <row r="15">
          <cell r="E15">
            <v>11.616564172349895</v>
          </cell>
          <cell r="F15">
            <v>10.581210713830966</v>
          </cell>
          <cell r="G15">
            <v>9.992441241558005</v>
          </cell>
        </row>
        <row r="20">
          <cell r="E20">
            <v>17.885514859427964</v>
          </cell>
          <cell r="F20">
            <v>15.975732042697382</v>
          </cell>
          <cell r="G20">
            <v>13.677286797338583</v>
          </cell>
        </row>
        <row r="21">
          <cell r="E21">
            <v>0.1443851405720357</v>
          </cell>
          <cell r="F21">
            <v>0.12896795730261745</v>
          </cell>
          <cell r="G21">
            <v>0.11041320266141555</v>
          </cell>
        </row>
        <row r="28">
          <cell r="E28">
            <v>0.1431769120352031</v>
          </cell>
          <cell r="F28">
            <v>0.12783773262008236</v>
          </cell>
          <cell r="G28">
            <v>0.1392437891082492</v>
          </cell>
        </row>
        <row r="29">
          <cell r="E29">
            <v>1.130923087964797</v>
          </cell>
          <cell r="F29">
            <v>1.0097622673799176</v>
          </cell>
          <cell r="G29">
            <v>1.099856210891751</v>
          </cell>
        </row>
        <row r="34">
          <cell r="E34">
            <v>0.04256999421421858</v>
          </cell>
          <cell r="F34">
            <v>0.04256999421421858</v>
          </cell>
          <cell r="G34">
            <v>0.04256999421421858</v>
          </cell>
        </row>
        <row r="35">
          <cell r="E35">
            <v>0.1127300057857814</v>
          </cell>
          <cell r="F35">
            <v>0.1127300057857814</v>
          </cell>
          <cell r="G35">
            <v>0.1127300057857814</v>
          </cell>
        </row>
        <row r="44">
          <cell r="E44">
            <v>0.2136</v>
          </cell>
          <cell r="F44">
            <v>0.2136</v>
          </cell>
          <cell r="G44">
            <v>0.2136</v>
          </cell>
        </row>
        <row r="52">
          <cell r="E52">
            <v>1.95</v>
          </cell>
          <cell r="F52">
            <v>1.69</v>
          </cell>
          <cell r="G52">
            <v>2.14</v>
          </cell>
        </row>
        <row r="56">
          <cell r="E56">
            <v>0.5392</v>
          </cell>
          <cell r="F56">
            <v>0.4885</v>
          </cell>
          <cell r="G56">
            <v>0.4845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тери (2)"/>
      <sheetName val="Энергокомфорт"/>
      <sheetName val="ТНС"/>
      <sheetName val="Русэнергосбыт"/>
      <sheetName val="РЕГИОН"/>
      <sheetName val="1"/>
    </sheetNames>
    <sheetDataSet>
      <sheetData sheetId="4">
        <row r="31">
          <cell r="E31">
            <v>5.989650805706651</v>
          </cell>
        </row>
        <row r="32">
          <cell r="E32">
            <v>188.66169506059398</v>
          </cell>
        </row>
        <row r="33">
          <cell r="E33">
            <v>208.1868239952458</v>
          </cell>
        </row>
        <row r="34">
          <cell r="E34">
            <v>256.06623699674356</v>
          </cell>
        </row>
        <row r="35">
          <cell r="E35">
            <v>6.69906702233021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X54"/>
  <sheetViews>
    <sheetView tabSelected="1" view="pageBreakPreview" zoomScale="85" zoomScaleNormal="70" zoomScaleSheetLayoutView="85" workbookViewId="0" topLeftCell="A6">
      <pane xSplit="1" ySplit="7" topLeftCell="B22" activePane="bottomRight" state="frozen"/>
      <selection pane="topLeft" activeCell="A6" sqref="A6"/>
      <selection pane="topRight" activeCell="B6" sqref="B6"/>
      <selection pane="bottomLeft" activeCell="A7" sqref="A7"/>
      <selection pane="bottomRight" activeCell="B25" sqref="B25"/>
    </sheetView>
  </sheetViews>
  <sheetFormatPr defaultColWidth="15.00390625" defaultRowHeight="12.75"/>
  <cols>
    <col min="1" max="1" width="47.25390625" style="1" customWidth="1"/>
    <col min="2" max="2" width="17.75390625" style="1" customWidth="1"/>
    <col min="3" max="5" width="16.875" style="1" customWidth="1"/>
    <col min="6" max="6" width="18.125" style="1" customWidth="1"/>
    <col min="7" max="12" width="16.875" style="1" customWidth="1"/>
    <col min="13" max="13" width="16.625" style="1" customWidth="1"/>
    <col min="14" max="14" width="14.375" style="3" customWidth="1"/>
    <col min="15" max="15" width="16.875" style="1" customWidth="1"/>
    <col min="16" max="16" width="13.125" style="1" customWidth="1"/>
    <col min="17" max="18" width="16.875" style="1" customWidth="1"/>
    <col min="19" max="19" width="18.00390625" style="1" customWidth="1"/>
    <col min="20" max="20" width="11.625" style="1" customWidth="1"/>
    <col min="21" max="21" width="42.00390625" style="1" customWidth="1"/>
    <col min="22" max="22" width="14.125" style="1" customWidth="1"/>
    <col min="23" max="23" width="32.625" style="1" customWidth="1"/>
    <col min="24" max="24" width="12.375" style="1" bestFit="1" customWidth="1"/>
    <col min="25" max="255" width="9.125" style="1" customWidth="1"/>
    <col min="256" max="16384" width="39.375" style="1" customWidth="1"/>
  </cols>
  <sheetData>
    <row r="1" spans="10:18" ht="30" customHeight="1">
      <c r="J1" s="147" t="s">
        <v>0</v>
      </c>
      <c r="K1" s="147"/>
      <c r="L1" s="147"/>
      <c r="M1" s="147"/>
      <c r="N1" s="147"/>
      <c r="O1" s="147"/>
      <c r="P1" s="147"/>
      <c r="Q1" s="147"/>
      <c r="R1" s="2"/>
    </row>
    <row r="2" ht="6.75" customHeight="1"/>
    <row r="3" spans="1:18" s="5" customFormat="1" ht="18.75">
      <c r="A3" s="148" t="s">
        <v>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4"/>
    </row>
    <row r="4" spans="1:18" s="5" customFormat="1" ht="7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/>
      <c r="R4" s="6"/>
    </row>
    <row r="5" spans="1:18" s="5" customFormat="1" ht="15.75" customHeight="1">
      <c r="A5" s="8" t="s">
        <v>2</v>
      </c>
      <c r="B5" s="9"/>
      <c r="C5" s="9"/>
      <c r="D5" s="9"/>
      <c r="E5" s="9"/>
      <c r="F5" s="9"/>
      <c r="G5" s="10" t="s">
        <v>3</v>
      </c>
      <c r="H5" s="10"/>
      <c r="I5" s="10" t="s">
        <v>4</v>
      </c>
      <c r="J5" s="10" t="s">
        <v>5</v>
      </c>
      <c r="K5" s="10" t="s">
        <v>6</v>
      </c>
      <c r="L5" s="10"/>
      <c r="M5" s="10" t="s">
        <v>7</v>
      </c>
      <c r="N5" s="10" t="s">
        <v>8</v>
      </c>
      <c r="O5" s="11" t="s">
        <v>9</v>
      </c>
      <c r="P5" s="12"/>
      <c r="Q5" s="12"/>
      <c r="R5" s="13"/>
    </row>
    <row r="6" spans="1:18" s="5" customFormat="1" ht="15.75" customHeight="1">
      <c r="A6" s="14"/>
      <c r="B6" s="15"/>
      <c r="C6" s="15"/>
      <c r="D6" s="15"/>
      <c r="E6" s="15"/>
      <c r="F6" s="15"/>
      <c r="G6" s="16"/>
      <c r="H6" s="16"/>
      <c r="I6" s="155" t="s">
        <v>92</v>
      </c>
      <c r="J6" s="156"/>
      <c r="K6" s="156"/>
      <c r="L6" s="156"/>
      <c r="M6" s="156"/>
      <c r="N6" s="156"/>
      <c r="O6" s="17"/>
      <c r="P6" s="18"/>
      <c r="Q6" s="18"/>
      <c r="R6" s="18"/>
    </row>
    <row r="7" spans="1:18" s="5" customFormat="1" ht="15.75" customHeight="1">
      <c r="A7" s="14"/>
      <c r="B7" s="15"/>
      <c r="C7" s="15"/>
      <c r="D7" s="15"/>
      <c r="E7" s="15"/>
      <c r="F7" s="15"/>
      <c r="G7" s="16"/>
      <c r="H7" s="19"/>
      <c r="I7" s="156"/>
      <c r="J7" s="156"/>
      <c r="K7" s="156"/>
      <c r="L7" s="156"/>
      <c r="M7" s="156"/>
      <c r="N7" s="156"/>
      <c r="O7" s="17"/>
      <c r="P7" s="18"/>
      <c r="Q7" s="18"/>
      <c r="R7" s="18"/>
    </row>
    <row r="8" spans="1:18" s="5" customFormat="1" ht="15.75" customHeight="1">
      <c r="A8" s="14"/>
      <c r="B8" s="15"/>
      <c r="C8" s="15"/>
      <c r="D8" s="15"/>
      <c r="E8" s="15"/>
      <c r="F8" s="15"/>
      <c r="G8" s="16"/>
      <c r="H8" s="16"/>
      <c r="I8" s="16"/>
      <c r="J8" s="16"/>
      <c r="K8" s="16"/>
      <c r="L8" s="16"/>
      <c r="M8" s="16"/>
      <c r="N8" s="16"/>
      <c r="O8" s="20"/>
      <c r="P8" s="12"/>
      <c r="Q8" s="12"/>
      <c r="R8" s="13"/>
    </row>
    <row r="9" spans="1:18" s="5" customFormat="1" ht="15.75" customHeight="1">
      <c r="A9" s="151" t="s">
        <v>10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2"/>
      <c r="Q9" s="12"/>
      <c r="R9" s="13"/>
    </row>
    <row r="10" spans="1:18" s="5" customFormat="1" ht="6.75" customHeight="1">
      <c r="A10" s="14"/>
      <c r="B10" s="15"/>
      <c r="C10" s="15"/>
      <c r="D10" s="15"/>
      <c r="E10" s="15"/>
      <c r="F10" s="15"/>
      <c r="G10" s="16"/>
      <c r="H10" s="16"/>
      <c r="I10" s="16"/>
      <c r="J10" s="16"/>
      <c r="K10" s="16"/>
      <c r="L10" s="16"/>
      <c r="M10" s="16"/>
      <c r="N10" s="16"/>
      <c r="O10" s="20"/>
      <c r="P10" s="12"/>
      <c r="Q10" s="12"/>
      <c r="R10" s="13"/>
    </row>
    <row r="11" spans="1:18" s="5" customFormat="1" ht="15.75" customHeight="1">
      <c r="A11" s="150" t="s">
        <v>2</v>
      </c>
      <c r="B11" s="152" t="s">
        <v>11</v>
      </c>
      <c r="C11" s="153"/>
      <c r="D11" s="153"/>
      <c r="E11" s="154"/>
      <c r="F11" s="159" t="s">
        <v>3</v>
      </c>
      <c r="G11" s="160" t="s">
        <v>4</v>
      </c>
      <c r="H11" s="160" t="s">
        <v>5</v>
      </c>
      <c r="I11" s="160" t="s">
        <v>6</v>
      </c>
      <c r="J11" s="160" t="s">
        <v>7</v>
      </c>
      <c r="K11" s="160" t="s">
        <v>8</v>
      </c>
      <c r="L11" s="159" t="s">
        <v>9</v>
      </c>
      <c r="P11" s="12"/>
      <c r="Q11" s="12"/>
      <c r="R11" s="13"/>
    </row>
    <row r="12" spans="1:18" s="5" customFormat="1" ht="155.25" customHeight="1">
      <c r="A12" s="150"/>
      <c r="B12" s="21" t="s">
        <v>12</v>
      </c>
      <c r="C12" s="21" t="s">
        <v>13</v>
      </c>
      <c r="D12" s="21" t="s">
        <v>14</v>
      </c>
      <c r="E12" s="21" t="s">
        <v>15</v>
      </c>
      <c r="F12" s="159"/>
      <c r="G12" s="160"/>
      <c r="H12" s="160"/>
      <c r="I12" s="160"/>
      <c r="J12" s="160"/>
      <c r="K12" s="160"/>
      <c r="L12" s="159"/>
      <c r="M12" s="12"/>
      <c r="N12" s="12"/>
      <c r="O12" s="12"/>
      <c r="P12" s="12"/>
      <c r="Q12" s="12"/>
      <c r="R12" s="13"/>
    </row>
    <row r="13" spans="1:18" s="5" customFormat="1" ht="16.5" customHeight="1">
      <c r="A13" s="23" t="s">
        <v>16</v>
      </c>
      <c r="B13" s="21"/>
      <c r="C13" s="21"/>
      <c r="D13" s="21"/>
      <c r="E13" s="21"/>
      <c r="F13" s="21"/>
      <c r="G13" s="24"/>
      <c r="H13" s="24"/>
      <c r="I13" s="22"/>
      <c r="J13" s="22"/>
      <c r="K13" s="22"/>
      <c r="L13" s="22"/>
      <c r="M13" s="25"/>
      <c r="N13" s="25"/>
      <c r="O13" s="20"/>
      <c r="P13" s="12"/>
      <c r="Q13" s="12"/>
      <c r="R13" s="13"/>
    </row>
    <row r="14" spans="1:18" s="5" customFormat="1" ht="15.75">
      <c r="A14" s="26" t="s">
        <v>17</v>
      </c>
      <c r="B14" s="27"/>
      <c r="C14" s="27"/>
      <c r="D14" s="27"/>
      <c r="E14" s="27"/>
      <c r="F14" s="27"/>
      <c r="G14" s="24"/>
      <c r="H14" s="24"/>
      <c r="I14" s="27"/>
      <c r="J14" s="27"/>
      <c r="K14" s="27"/>
      <c r="L14" s="27"/>
      <c r="M14" s="28"/>
      <c r="N14" s="28"/>
      <c r="O14" s="28"/>
      <c r="P14" s="28"/>
      <c r="Q14" s="28"/>
      <c r="R14" s="29"/>
    </row>
    <row r="15" spans="1:20" s="5" customFormat="1" ht="21" customHeight="1">
      <c r="A15" s="30" t="s">
        <v>39</v>
      </c>
      <c r="B15" s="31">
        <f>386.545736899821-0.6305825</f>
        <v>385.915154399821</v>
      </c>
      <c r="C15" s="31">
        <v>23.913781749338796</v>
      </c>
      <c r="D15" s="31">
        <f>116.042263084432-'[2]прил 3'!B9</f>
        <v>115.884013084432</v>
      </c>
      <c r="E15" s="31">
        <f>128.407601434233-'[2]прил 3'!C9</f>
        <v>128.362601434233</v>
      </c>
      <c r="F15" s="31" t="s">
        <v>18</v>
      </c>
      <c r="G15" s="32">
        <v>72.87402030507799</v>
      </c>
      <c r="H15" s="32">
        <v>141.84472506063835</v>
      </c>
      <c r="I15" s="32">
        <v>73.88921208306182</v>
      </c>
      <c r="J15" s="32">
        <f>4.33148871692231-'[2]прил 3'!D9</f>
        <v>4.08148871692231</v>
      </c>
      <c r="K15" s="32">
        <v>8.63265383429954</v>
      </c>
      <c r="L15" s="32">
        <f>B15+C15+D15+E15+G15+H15+I15+J15+K15</f>
        <v>955.3976506678247</v>
      </c>
      <c r="M15" s="33"/>
      <c r="N15" s="12"/>
      <c r="O15" s="12"/>
      <c r="P15" s="12"/>
      <c r="Q15" s="12"/>
      <c r="R15" s="34"/>
      <c r="S15" s="35"/>
      <c r="T15" s="36"/>
    </row>
    <row r="16" spans="1:24" s="5" customFormat="1" ht="15.75">
      <c r="A16" s="30" t="s">
        <v>19</v>
      </c>
      <c r="B16" s="31">
        <v>142.64808100218235</v>
      </c>
      <c r="C16" s="31">
        <v>17.583613994154437</v>
      </c>
      <c r="D16" s="31">
        <f>81.2628666569415-'[2]прил 3'!B10</f>
        <v>81.1520462686912</v>
      </c>
      <c r="E16" s="31">
        <f>82.5605879275475-'[2]прил 3'!C10</f>
        <v>82.53165485493153</v>
      </c>
      <c r="F16" s="31">
        <v>0.6283183089776591</v>
      </c>
      <c r="G16" s="162">
        <f>172.6669-'[2]прил 3'!D10</f>
        <v>172.52376101267325</v>
      </c>
      <c r="H16" s="163"/>
      <c r="I16" s="163"/>
      <c r="J16" s="163"/>
      <c r="K16" s="164"/>
      <c r="L16" s="31">
        <f>B16+C16+D16+E16+G16+H16+I16+J16+K16+F16</f>
        <v>497.06747544161044</v>
      </c>
      <c r="M16" s="37"/>
      <c r="N16" s="37"/>
      <c r="O16" s="38"/>
      <c r="P16" s="38"/>
      <c r="Q16" s="12"/>
      <c r="R16" s="34"/>
      <c r="S16" s="35"/>
      <c r="U16" s="39"/>
      <c r="V16" s="39"/>
      <c r="W16" s="39"/>
      <c r="X16" s="39"/>
    </row>
    <row r="17" spans="1:24" s="5" customFormat="1" ht="31.5">
      <c r="A17" s="30" t="s">
        <v>20</v>
      </c>
      <c r="B17" s="32">
        <v>1499155.29</v>
      </c>
      <c r="C17" s="32">
        <v>1678451.275040995</v>
      </c>
      <c r="D17" s="32">
        <v>1727766.8377624326</v>
      </c>
      <c r="E17" s="32">
        <v>1745243.7078231736</v>
      </c>
      <c r="F17" s="32">
        <f>B17</f>
        <v>1499155.29</v>
      </c>
      <c r="G17" s="40"/>
      <c r="H17" s="40"/>
      <c r="I17" s="40"/>
      <c r="J17" s="32"/>
      <c r="K17" s="32"/>
      <c r="L17" s="32"/>
      <c r="M17" s="38"/>
      <c r="N17" s="38"/>
      <c r="O17" s="38"/>
      <c r="P17" s="38"/>
      <c r="Q17" s="38"/>
      <c r="R17" s="34"/>
      <c r="U17" s="39"/>
      <c r="V17" s="39"/>
      <c r="W17" s="39"/>
      <c r="X17" s="39"/>
    </row>
    <row r="18" spans="1:18" s="5" customFormat="1" ht="15.75">
      <c r="A18" s="30" t="s">
        <v>40</v>
      </c>
      <c r="B18" s="32">
        <v>68.98</v>
      </c>
      <c r="C18" s="32">
        <v>199.98</v>
      </c>
      <c r="D18" s="32">
        <v>288.36</v>
      </c>
      <c r="E18" s="32">
        <v>743.63</v>
      </c>
      <c r="F18" s="32" t="s">
        <v>18</v>
      </c>
      <c r="G18" s="40"/>
      <c r="H18" s="40"/>
      <c r="I18" s="40"/>
      <c r="J18" s="32"/>
      <c r="K18" s="32"/>
      <c r="L18" s="32"/>
      <c r="M18" s="38"/>
      <c r="N18" s="38"/>
      <c r="O18" s="38"/>
      <c r="P18" s="38"/>
      <c r="Q18" s="38"/>
      <c r="R18" s="34"/>
    </row>
    <row r="19" spans="1:21" s="5" customFormat="1" ht="15.75">
      <c r="A19" s="30" t="s">
        <v>41</v>
      </c>
      <c r="B19" s="32">
        <f>(B17*B16*0.003+B15*B18)/B15</f>
        <v>1731.4046765485614</v>
      </c>
      <c r="C19" s="32">
        <f>(C17*C16*0.003+C15*C18)/C15</f>
        <v>3902.4357183390566</v>
      </c>
      <c r="D19" s="32">
        <f>(D17*D16*0.003+D15*D18)/D15</f>
        <v>3918.1570003191955</v>
      </c>
      <c r="E19" s="32">
        <f>(E17*E16*0.003+E15*E18)/E15</f>
        <v>4109.980862067907</v>
      </c>
      <c r="F19" s="32" t="s">
        <v>18</v>
      </c>
      <c r="G19" s="31">
        <v>1539.9210476000007</v>
      </c>
      <c r="H19" s="31">
        <v>709.4125730237309</v>
      </c>
      <c r="I19" s="31">
        <v>709.4125730237309</v>
      </c>
      <c r="J19" s="31">
        <v>1539.9210476000007</v>
      </c>
      <c r="K19" s="31">
        <v>709.4125730237309</v>
      </c>
      <c r="L19" s="40"/>
      <c r="M19" s="12"/>
      <c r="N19" s="12"/>
      <c r="O19" s="12"/>
      <c r="P19" s="12"/>
      <c r="Q19" s="38"/>
      <c r="R19" s="34"/>
      <c r="S19" s="41"/>
      <c r="U19" s="35"/>
    </row>
    <row r="20" spans="1:21" s="5" customFormat="1" ht="15.75">
      <c r="A20" s="30" t="s">
        <v>21</v>
      </c>
      <c r="B20" s="32">
        <f>B15*B18+B16*B17*0.003</f>
        <v>668175.3030788102</v>
      </c>
      <c r="C20" s="32">
        <f>C15*C18+C16*C17*0.003</f>
        <v>93321.99605918437</v>
      </c>
      <c r="D20" s="32">
        <f>D15*D18+D16*D17*0.003</f>
        <v>454051.75709184847</v>
      </c>
      <c r="E20" s="32">
        <f>E15*E18+E16*E17*0.003</f>
        <v>527567.8352999481</v>
      </c>
      <c r="F20" s="32">
        <f>F17*F16*0.003</f>
        <v>2825.840150123136</v>
      </c>
      <c r="G20" s="32">
        <f>G15*G19</f>
        <v>112220.23769101943</v>
      </c>
      <c r="H20" s="32">
        <f>H15*H19</f>
        <v>100626.43137511115</v>
      </c>
      <c r="I20" s="32">
        <f>I15*I19</f>
        <v>52417.93606254103</v>
      </c>
      <c r="J20" s="32">
        <f>J15*J19</f>
        <v>6285.170380730587</v>
      </c>
      <c r="K20" s="32">
        <f>K15*K19</f>
        <v>6124.113168613612</v>
      </c>
      <c r="L20" s="42">
        <f>B20+C20+D20+E20+G20+H20+I20+J20+K20+F20</f>
        <v>2023616.6203579302</v>
      </c>
      <c r="M20" s="12"/>
      <c r="N20" s="12"/>
      <c r="O20" s="12"/>
      <c r="P20" s="12"/>
      <c r="Q20" s="12"/>
      <c r="R20" s="43"/>
      <c r="S20" s="41"/>
      <c r="T20" s="44"/>
      <c r="U20" s="35"/>
    </row>
    <row r="21" spans="1:21" s="5" customFormat="1" ht="15.75">
      <c r="A21" s="30"/>
      <c r="B21" s="32"/>
      <c r="C21" s="32"/>
      <c r="D21" s="32"/>
      <c r="E21" s="32"/>
      <c r="F21" s="32"/>
      <c r="G21" s="24"/>
      <c r="H21" s="24"/>
      <c r="I21" s="31"/>
      <c r="J21" s="32"/>
      <c r="K21" s="32"/>
      <c r="L21" s="32"/>
      <c r="M21" s="38"/>
      <c r="N21" s="38"/>
      <c r="O21" s="47"/>
      <c r="P21" s="12"/>
      <c r="Q21" s="12"/>
      <c r="R21" s="43"/>
      <c r="S21" s="41"/>
      <c r="T21" s="44"/>
      <c r="U21" s="35"/>
    </row>
    <row r="22" spans="1:21" s="5" customFormat="1" ht="15.75">
      <c r="A22" s="26" t="s">
        <v>22</v>
      </c>
      <c r="B22" s="32"/>
      <c r="C22" s="32"/>
      <c r="D22" s="32"/>
      <c r="E22" s="32"/>
      <c r="F22" s="32"/>
      <c r="G22" s="24"/>
      <c r="H22" s="24"/>
      <c r="I22" s="31"/>
      <c r="J22" s="32"/>
      <c r="K22" s="32"/>
      <c r="L22" s="32"/>
      <c r="M22" s="38"/>
      <c r="N22" s="38"/>
      <c r="O22" s="47"/>
      <c r="P22" s="12"/>
      <c r="Q22" s="12"/>
      <c r="R22" s="43"/>
      <c r="S22" s="41"/>
      <c r="T22" s="44"/>
      <c r="U22" s="35"/>
    </row>
    <row r="23" spans="1:21" s="5" customFormat="1" ht="17.25" customHeight="1">
      <c r="A23" s="30" t="s">
        <v>23</v>
      </c>
      <c r="B23" s="32">
        <v>331.42453214887</v>
      </c>
      <c r="C23" s="32">
        <v>20.542701115140492</v>
      </c>
      <c r="D23" s="32">
        <f>99.6840044897499-'[2]прил 3'!B17</f>
        <v>99.5257544897499</v>
      </c>
      <c r="E23" s="32">
        <f>110.30622445354-'[2]прил 3'!C17</f>
        <v>110.26122445354</v>
      </c>
      <c r="F23" s="32" t="s">
        <v>18</v>
      </c>
      <c r="G23" s="32">
        <v>56.81712698163817</v>
      </c>
      <c r="H23" s="32">
        <v>110.59098594680198</v>
      </c>
      <c r="I23" s="32">
        <v>57.60863374795833</v>
      </c>
      <c r="J23" s="32">
        <f>3.37709849708619-'[2]прил 3'!D17</f>
        <v>3.12709849708619</v>
      </c>
      <c r="K23" s="32">
        <v>6.73055482651538</v>
      </c>
      <c r="L23" s="32">
        <f>B23+C23+D23+E23+G23+H23+I23+J23+K23</f>
        <v>796.6286122073004</v>
      </c>
      <c r="M23" s="33"/>
      <c r="N23" s="12"/>
      <c r="O23" s="12"/>
      <c r="P23" s="38"/>
      <c r="Q23" s="38"/>
      <c r="R23" s="34"/>
      <c r="S23" s="41"/>
      <c r="T23" s="44"/>
      <c r="U23" s="35"/>
    </row>
    <row r="24" spans="1:21" s="5" customFormat="1" ht="20.25" customHeight="1">
      <c r="A24" s="30" t="s">
        <v>19</v>
      </c>
      <c r="B24" s="32">
        <v>122.50639284069631</v>
      </c>
      <c r="C24" s="32">
        <v>15.104885149163147</v>
      </c>
      <c r="D24" s="32">
        <f>69.8073938698224-'[2]прил 3'!B18</f>
        <v>69.6965734815721</v>
      </c>
      <c r="E24" s="32">
        <f>70.9221778246253-'[2]прил 3'!C18</f>
        <v>70.89324475200932</v>
      </c>
      <c r="F24" s="32">
        <v>0.6283183089776591</v>
      </c>
      <c r="G24" s="162">
        <f>134.442733333333-'[2]прил 3'!D18</f>
        <v>134.29978482040394</v>
      </c>
      <c r="H24" s="163"/>
      <c r="I24" s="163"/>
      <c r="J24" s="163"/>
      <c r="K24" s="164"/>
      <c r="L24" s="31">
        <f>B24+C24+D24+E24+G24+H24+I24+J24+K24+F24</f>
        <v>413.12919935282247</v>
      </c>
      <c r="M24" s="37"/>
      <c r="N24" s="37"/>
      <c r="O24" s="38"/>
      <c r="P24" s="38"/>
      <c r="Q24" s="38"/>
      <c r="R24" s="34"/>
      <c r="S24" s="41"/>
      <c r="T24" s="44"/>
      <c r="U24" s="35"/>
    </row>
    <row r="25" spans="1:21" s="5" customFormat="1" ht="32.25" customHeight="1">
      <c r="A25" s="30" t="s">
        <v>20</v>
      </c>
      <c r="B25" s="31">
        <v>1499155.29</v>
      </c>
      <c r="C25" s="31">
        <v>1539308.669817712</v>
      </c>
      <c r="D25" s="31">
        <v>1574064.6443173245</v>
      </c>
      <c r="E25" s="31">
        <v>1670128.395</v>
      </c>
      <c r="F25" s="31">
        <f>B25</f>
        <v>1499155.29</v>
      </c>
      <c r="G25" s="40"/>
      <c r="H25" s="40"/>
      <c r="I25" s="40"/>
      <c r="J25" s="32"/>
      <c r="K25" s="32"/>
      <c r="L25" s="32"/>
      <c r="M25" s="38"/>
      <c r="N25" s="38"/>
      <c r="O25" s="38"/>
      <c r="P25" s="38"/>
      <c r="Q25" s="38"/>
      <c r="R25" s="34"/>
      <c r="S25" s="41"/>
      <c r="T25" s="44"/>
      <c r="U25" s="35"/>
    </row>
    <row r="26" spans="1:21" s="5" customFormat="1" ht="18" customHeight="1">
      <c r="A26" s="30" t="s">
        <v>24</v>
      </c>
      <c r="B26" s="31">
        <v>51.24932260124472</v>
      </c>
      <c r="C26" s="31">
        <v>83.02917980445244</v>
      </c>
      <c r="D26" s="31">
        <v>175.52987503909515</v>
      </c>
      <c r="E26" s="31">
        <v>444.6710680534616</v>
      </c>
      <c r="F26" s="31" t="str">
        <f>F15</f>
        <v>х</v>
      </c>
      <c r="G26" s="40"/>
      <c r="H26" s="40"/>
      <c r="I26" s="40"/>
      <c r="J26" s="32"/>
      <c r="K26" s="32"/>
      <c r="L26" s="32"/>
      <c r="M26" s="38"/>
      <c r="N26" s="38"/>
      <c r="O26" s="38"/>
      <c r="P26" s="38"/>
      <c r="Q26" s="38"/>
      <c r="R26" s="34"/>
      <c r="S26" s="41"/>
      <c r="T26" s="44"/>
      <c r="U26" s="35"/>
    </row>
    <row r="27" spans="1:21" s="5" customFormat="1" ht="18" customHeight="1">
      <c r="A27" s="30" t="s">
        <v>25</v>
      </c>
      <c r="B27" s="31">
        <f>(B23*B26+B24*B25*0.003)/B23</f>
        <v>1713.6739991498077</v>
      </c>
      <c r="C27" s="31">
        <f>(C23*C26+C24*C25*0.003)/C23</f>
        <v>3478.553537052341</v>
      </c>
      <c r="D27" s="31">
        <f>(D23*D26+D24*D25*0.003)/D23</f>
        <v>3482.420017490787</v>
      </c>
      <c r="E27" s="31">
        <f>(E23*E26+E24*E25*0.003)/E23</f>
        <v>3666.1341434224073</v>
      </c>
      <c r="F27" s="32">
        <f>F16</f>
        <v>0.6283183089776591</v>
      </c>
      <c r="G27" s="31">
        <v>1539.9210476000007</v>
      </c>
      <c r="H27" s="31">
        <v>709.4125730237309</v>
      </c>
      <c r="I27" s="31">
        <v>709.4125730237309</v>
      </c>
      <c r="J27" s="31">
        <v>1539.9210476000007</v>
      </c>
      <c r="K27" s="31">
        <v>709.4125730237309</v>
      </c>
      <c r="L27" s="32"/>
      <c r="M27" s="12"/>
      <c r="N27" s="12"/>
      <c r="O27" s="12"/>
      <c r="P27" s="38"/>
      <c r="Q27" s="38"/>
      <c r="R27" s="34"/>
      <c r="S27" s="41"/>
      <c r="T27" s="44"/>
      <c r="U27" s="35"/>
    </row>
    <row r="28" spans="1:21" s="5" customFormat="1" ht="18" customHeight="1">
      <c r="A28" s="30" t="s">
        <v>21</v>
      </c>
      <c r="B28" s="32">
        <f>B23*B26+B24*B25*0.003</f>
        <v>567953.6034239081</v>
      </c>
      <c r="C28" s="32">
        <f>C23*C26+C24*C25*0.003</f>
        <v>71458.88562468103</v>
      </c>
      <c r="D28" s="32">
        <f>D23*D26+D24*D25*0.003</f>
        <v>346590.4796909786</v>
      </c>
      <c r="E28" s="32">
        <f>E23*E26+E24*E25*0.003</f>
        <v>404232.43966468464</v>
      </c>
      <c r="F28" s="32">
        <f>F25*F24*0.003</f>
        <v>2825.840150123136</v>
      </c>
      <c r="G28" s="32">
        <f>G23*G27</f>
        <v>87493.88970318652</v>
      </c>
      <c r="H28" s="32">
        <f>H23*H27</f>
        <v>78454.63589375206</v>
      </c>
      <c r="I28" s="32">
        <f>I23*I27</f>
        <v>40868.28909552086</v>
      </c>
      <c r="J28" s="32">
        <f>J23*J27</f>
        <v>4815.484793581354</v>
      </c>
      <c r="K28" s="32">
        <f>K23*K27</f>
        <v>4774.7402173555665</v>
      </c>
      <c r="L28" s="42">
        <f>B28+C28+D28+E28+G28+H28+I28+J28+K28+F28</f>
        <v>1609468.288257772</v>
      </c>
      <c r="M28" s="12"/>
      <c r="N28" s="12"/>
      <c r="O28" s="12"/>
      <c r="P28" s="38"/>
      <c r="Q28" s="38"/>
      <c r="R28" s="34"/>
      <c r="S28" s="41"/>
      <c r="T28" s="44"/>
      <c r="U28" s="35"/>
    </row>
    <row r="29" spans="1:21" s="5" customFormat="1" ht="13.5" customHeight="1">
      <c r="A29" s="30"/>
      <c r="B29" s="32"/>
      <c r="C29" s="32"/>
      <c r="D29" s="32"/>
      <c r="E29" s="32"/>
      <c r="F29" s="32"/>
      <c r="G29" s="24"/>
      <c r="H29" s="24"/>
      <c r="I29" s="40"/>
      <c r="J29" s="32"/>
      <c r="K29" s="32"/>
      <c r="L29" s="32"/>
      <c r="M29" s="38"/>
      <c r="N29" s="38"/>
      <c r="O29" s="38"/>
      <c r="P29" s="38"/>
      <c r="Q29" s="38"/>
      <c r="R29" s="34"/>
      <c r="S29" s="41"/>
      <c r="T29" s="44"/>
      <c r="U29" s="35"/>
    </row>
    <row r="30" spans="1:19" s="5" customFormat="1" ht="15.75">
      <c r="A30" s="23" t="s">
        <v>26</v>
      </c>
      <c r="B30" s="32"/>
      <c r="C30" s="32"/>
      <c r="D30" s="32"/>
      <c r="E30" s="32"/>
      <c r="F30" s="32"/>
      <c r="G30" s="24"/>
      <c r="H30" s="24"/>
      <c r="I30" s="40"/>
      <c r="J30" s="32"/>
      <c r="K30" s="32"/>
      <c r="L30" s="32"/>
      <c r="M30" s="38"/>
      <c r="N30" s="38"/>
      <c r="O30" s="38"/>
      <c r="P30" s="38"/>
      <c r="Q30" s="38"/>
      <c r="R30" s="34"/>
      <c r="S30" s="41"/>
    </row>
    <row r="31" spans="1:20" s="5" customFormat="1" ht="19.5" customHeight="1">
      <c r="A31" s="30" t="s">
        <v>39</v>
      </c>
      <c r="B31" s="32">
        <v>721.9334727258349</v>
      </c>
      <c r="C31" s="32">
        <v>53.20004881395273</v>
      </c>
      <c r="D31" s="32">
        <f>205.440102104163-'[2]прил 3'!B25</f>
        <v>205.123602104163</v>
      </c>
      <c r="E31" s="32">
        <f>201.657325541221-'[2]прил 3'!C25</f>
        <v>201.567325541221</v>
      </c>
      <c r="F31" s="32" t="s">
        <v>18</v>
      </c>
      <c r="G31" s="32">
        <v>111.47517406127173</v>
      </c>
      <c r="H31" s="32">
        <v>224.37767669213454</v>
      </c>
      <c r="I31" s="48">
        <v>111.11597617898725</v>
      </c>
      <c r="J31" s="48">
        <f>5.91569687252063-'[2]прил 3'!D25</f>
        <v>5.41569687252063</v>
      </c>
      <c r="K31" s="48">
        <v>16.550176195085825</v>
      </c>
      <c r="L31" s="32">
        <f>B31+C31+D31+E31+G31+H31+I31+J31+K31</f>
        <v>1650.7591491851717</v>
      </c>
      <c r="M31" s="12"/>
      <c r="N31" s="12"/>
      <c r="O31" s="12"/>
      <c r="P31" s="12"/>
      <c r="Q31" s="12"/>
      <c r="R31" s="43"/>
      <c r="S31" s="41"/>
      <c r="T31" s="35"/>
    </row>
    <row r="32" spans="1:19" s="5" customFormat="1" ht="16.5" customHeight="1">
      <c r="A32" s="30" t="s">
        <v>19</v>
      </c>
      <c r="B32" s="31">
        <v>130.39970765463795</v>
      </c>
      <c r="C32" s="31">
        <v>19.11512306866837</v>
      </c>
      <c r="D32" s="31">
        <f>70.3017860452354-'[2]прил 3'!B26</f>
        <v>70.19347946314446</v>
      </c>
      <c r="E32" s="31">
        <f>63.3579289999223-'[2]прил 3'!C26</f>
        <v>63.329652250765335</v>
      </c>
      <c r="F32" s="31">
        <v>0.546369623469956</v>
      </c>
      <c r="G32" s="162">
        <f>134.398-'[2]прил 3'!D26</f>
        <v>134.25469859790712</v>
      </c>
      <c r="H32" s="163"/>
      <c r="I32" s="163"/>
      <c r="J32" s="163"/>
      <c r="K32" s="164"/>
      <c r="L32" s="31">
        <f>B32+C32+D32+E32+G32+H32+I32+J32+K32+F32</f>
        <v>417.8390306585932</v>
      </c>
      <c r="M32" s="37"/>
      <c r="N32" s="37"/>
      <c r="O32" s="38"/>
      <c r="P32" s="47"/>
      <c r="Q32" s="12"/>
      <c r="R32" s="43"/>
      <c r="S32" s="41"/>
    </row>
    <row r="33" spans="1:19" s="5" customFormat="1" ht="31.5">
      <c r="A33" s="30" t="s">
        <v>20</v>
      </c>
      <c r="B33" s="32">
        <v>1563949.5322700692</v>
      </c>
      <c r="C33" s="32">
        <v>1569708.54797</v>
      </c>
      <c r="D33" s="32">
        <v>1596666.2658100002</v>
      </c>
      <c r="E33" s="32">
        <v>1663433.1723046529</v>
      </c>
      <c r="F33" s="32">
        <f>B33</f>
        <v>1563949.5322700692</v>
      </c>
      <c r="G33" s="40"/>
      <c r="H33" s="40"/>
      <c r="I33" s="40"/>
      <c r="J33" s="32"/>
      <c r="K33" s="32"/>
      <c r="L33" s="32"/>
      <c r="M33" s="38"/>
      <c r="N33" s="38"/>
      <c r="O33" s="38"/>
      <c r="P33" s="38"/>
      <c r="Q33" s="38"/>
      <c r="R33" s="34"/>
      <c r="S33" s="41"/>
    </row>
    <row r="34" spans="1:23" s="5" customFormat="1" ht="15.75">
      <c r="A34" s="30" t="s">
        <v>42</v>
      </c>
      <c r="B34" s="32">
        <v>57.91094997970098</v>
      </c>
      <c r="C34" s="32">
        <v>94.51467859206157</v>
      </c>
      <c r="D34" s="32">
        <v>204.136302044895</v>
      </c>
      <c r="E34" s="32">
        <v>530.3686399138141</v>
      </c>
      <c r="F34" s="32" t="s">
        <v>18</v>
      </c>
      <c r="G34" s="40"/>
      <c r="H34" s="40"/>
      <c r="I34" s="40"/>
      <c r="J34" s="32"/>
      <c r="K34" s="32"/>
      <c r="L34" s="32"/>
      <c r="M34" s="38"/>
      <c r="N34" s="38"/>
      <c r="O34" s="38"/>
      <c r="P34" s="38"/>
      <c r="Q34" s="38"/>
      <c r="R34" s="34"/>
      <c r="S34" s="41"/>
      <c r="W34" s="35"/>
    </row>
    <row r="35" spans="1:22" s="5" customFormat="1" ht="15.75">
      <c r="A35" s="30" t="s">
        <v>41</v>
      </c>
      <c r="B35" s="32">
        <f>(B33*B32*0.006+B31*B34)/B31</f>
        <v>1752.8474184989284</v>
      </c>
      <c r="C35" s="32">
        <f>(C33*C32*0.006+C31*C34)/C31</f>
        <v>3478.553537050911</v>
      </c>
      <c r="D35" s="32">
        <f>(D33*D32*0.006+D31*D34)/D31</f>
        <v>3482.4200174912667</v>
      </c>
      <c r="E35" s="32">
        <f>(E33*E32*0.006+E31*E34)/E31</f>
        <v>3666.1341434224028</v>
      </c>
      <c r="F35" s="32" t="s">
        <v>18</v>
      </c>
      <c r="G35" s="31">
        <v>1488.9248660771962</v>
      </c>
      <c r="H35" s="31">
        <v>624.5180864161791</v>
      </c>
      <c r="I35" s="31">
        <v>624.5180864161791</v>
      </c>
      <c r="J35" s="31">
        <v>1488.9248660771962</v>
      </c>
      <c r="K35" s="31">
        <v>624.5180864161791</v>
      </c>
      <c r="L35" s="40"/>
      <c r="M35" s="12"/>
      <c r="N35" s="12"/>
      <c r="O35" s="12"/>
      <c r="P35" s="12"/>
      <c r="Q35" s="38"/>
      <c r="R35" s="34"/>
      <c r="S35" s="41"/>
      <c r="V35" s="49"/>
    </row>
    <row r="36" spans="1:22" s="5" customFormat="1" ht="15.75">
      <c r="A36" s="30" t="s">
        <v>21</v>
      </c>
      <c r="B36" s="32">
        <f>B31*B34+B32*B33*0.006</f>
        <v>1265439.2239954462</v>
      </c>
      <c r="C36" s="32">
        <f>C31*C34+C32*C33*0.006</f>
        <v>185059.2179730564</v>
      </c>
      <c r="D36" s="32">
        <f>D31*D34+D32*D33*0.006</f>
        <v>714326.538027451</v>
      </c>
      <c r="E36" s="32">
        <f>E31*E34+E32*E33*0.006</f>
        <v>738972.8543650089</v>
      </c>
      <c r="F36" s="32">
        <f>F33*F32*0.006</f>
        <v>5126.967102434469</v>
      </c>
      <c r="G36" s="32">
        <f>G31*G35</f>
        <v>165978.15861011113</v>
      </c>
      <c r="H36" s="32">
        <f>H31*H35</f>
        <v>140127.91728228</v>
      </c>
      <c r="I36" s="32">
        <f>I31*I35</f>
        <v>69393.93681356686</v>
      </c>
      <c r="J36" s="32">
        <f>J31*J35</f>
        <v>8063.565740632468</v>
      </c>
      <c r="K36" s="32">
        <f>K31*K35</f>
        <v>10335.884367205601</v>
      </c>
      <c r="L36" s="42">
        <f>B36+C36+D36+E36+G36+H36+I36+J36+K36+F36</f>
        <v>3302824.264277193</v>
      </c>
      <c r="M36" s="12"/>
      <c r="N36" s="12"/>
      <c r="O36" s="12"/>
      <c r="P36" s="12"/>
      <c r="Q36" s="38"/>
      <c r="R36" s="34"/>
      <c r="S36" s="41"/>
      <c r="V36" s="49"/>
    </row>
    <row r="37" spans="1:19" s="5" customFormat="1" ht="15.75">
      <c r="A37" s="30"/>
      <c r="B37" s="32"/>
      <c r="C37" s="32"/>
      <c r="D37" s="32"/>
      <c r="E37" s="32"/>
      <c r="F37" s="32"/>
      <c r="G37" s="40"/>
      <c r="H37" s="40"/>
      <c r="I37" s="40"/>
      <c r="J37" s="32"/>
      <c r="K37" s="32"/>
      <c r="L37" s="32"/>
      <c r="M37" s="38"/>
      <c r="N37" s="38"/>
      <c r="O37" s="38"/>
      <c r="P37" s="38"/>
      <c r="Q37" s="38"/>
      <c r="R37" s="34"/>
      <c r="S37" s="50"/>
    </row>
    <row r="38" spans="1:19" s="5" customFormat="1" ht="15.75">
      <c r="A38" s="23" t="s">
        <v>27</v>
      </c>
      <c r="B38" s="32"/>
      <c r="C38" s="32"/>
      <c r="D38" s="32"/>
      <c r="E38" s="32"/>
      <c r="F38" s="32"/>
      <c r="G38" s="40"/>
      <c r="H38" s="40"/>
      <c r="I38" s="40"/>
      <c r="J38" s="32"/>
      <c r="K38" s="32"/>
      <c r="L38" s="32"/>
      <c r="M38" s="38"/>
      <c r="N38" s="38"/>
      <c r="O38" s="38"/>
      <c r="P38" s="34"/>
      <c r="Q38" s="34"/>
      <c r="R38" s="34"/>
      <c r="S38" s="50"/>
    </row>
    <row r="39" spans="1:20" s="5" customFormat="1" ht="15.75">
      <c r="A39" s="30" t="s">
        <v>39</v>
      </c>
      <c r="B39" s="32">
        <f>B15+B23+B31</f>
        <v>1439.2731592745258</v>
      </c>
      <c r="C39" s="32">
        <f>C15+C23+C31</f>
        <v>97.65653167843202</v>
      </c>
      <c r="D39" s="32">
        <f>D15+D23+D31</f>
        <v>420.5333696783449</v>
      </c>
      <c r="E39" s="32">
        <f>E15+E23+E31</f>
        <v>440.191151428994</v>
      </c>
      <c r="F39" s="32" t="s">
        <v>18</v>
      </c>
      <c r="G39" s="32">
        <f>G15+G23+G31</f>
        <v>241.1663213479879</v>
      </c>
      <c r="H39" s="32">
        <f>H15+H23+H31</f>
        <v>476.81338769957483</v>
      </c>
      <c r="I39" s="32">
        <f>I15+I23+I31</f>
        <v>242.61382201000742</v>
      </c>
      <c r="J39" s="32">
        <f>J15+J23+J31</f>
        <v>12.62428408652913</v>
      </c>
      <c r="K39" s="32">
        <f>K15+K23+K31</f>
        <v>31.913384855900745</v>
      </c>
      <c r="L39" s="32">
        <f>B39+C39+D39+E39+G39+H39+I39+J39+K39</f>
        <v>3402.785412060297</v>
      </c>
      <c r="M39" s="12"/>
      <c r="N39" s="12"/>
      <c r="O39" s="12"/>
      <c r="P39" s="12"/>
      <c r="Q39" s="12"/>
      <c r="R39" s="51"/>
      <c r="S39" s="52"/>
      <c r="T39" s="53"/>
    </row>
    <row r="40" spans="1:22" s="5" customFormat="1" ht="15.75" customHeight="1">
      <c r="A40" s="30" t="s">
        <v>28</v>
      </c>
      <c r="B40" s="32">
        <f aca="true" t="shared" si="0" ref="B40:K40">B20++B28+B36</f>
        <v>2501568.1304981643</v>
      </c>
      <c r="C40" s="32">
        <f t="shared" si="0"/>
        <v>349840.0996569218</v>
      </c>
      <c r="D40" s="32">
        <f t="shared" si="0"/>
        <v>1514968.774810278</v>
      </c>
      <c r="E40" s="32">
        <f t="shared" si="0"/>
        <v>1670773.1293296416</v>
      </c>
      <c r="F40" s="32">
        <f t="shared" si="0"/>
        <v>10778.647402680741</v>
      </c>
      <c r="G40" s="32">
        <f t="shared" si="0"/>
        <v>365692.2860043171</v>
      </c>
      <c r="H40" s="32">
        <f t="shared" si="0"/>
        <v>319208.9845511432</v>
      </c>
      <c r="I40" s="32">
        <f t="shared" si="0"/>
        <v>162680.16197162875</v>
      </c>
      <c r="J40" s="32">
        <f t="shared" si="0"/>
        <v>19164.22091494441</v>
      </c>
      <c r="K40" s="32">
        <f t="shared" si="0"/>
        <v>21234.737753174777</v>
      </c>
      <c r="L40" s="42">
        <f>B40+C40+D40+E40+G40+H40+I40+J40+K40+F40</f>
        <v>6935909.172892894</v>
      </c>
      <c r="P40" s="12"/>
      <c r="Q40" s="12"/>
      <c r="R40" s="43"/>
      <c r="S40" s="41"/>
      <c r="T40" s="53"/>
      <c r="V40" s="53"/>
    </row>
    <row r="41" spans="1:22" s="5" customFormat="1" ht="15.75" hidden="1">
      <c r="A41" s="54"/>
      <c r="B41" s="34">
        <f>B39-'[1]прил 3 испр'!C26</f>
        <v>36.45396604877192</v>
      </c>
      <c r="C41" s="34">
        <f>C39-'[1]прил 3 испр'!D26</f>
        <v>16.21155510955451</v>
      </c>
      <c r="D41" s="34">
        <f>D39-'[1]прил 3 испр'!E26</f>
        <v>37.55469406394889</v>
      </c>
      <c r="E41" s="34"/>
      <c r="F41" s="55">
        <f>E39-'[1]прил 3 испр'!F26</f>
        <v>-24.369440173513908</v>
      </c>
      <c r="G41" s="55"/>
      <c r="H41" s="55"/>
      <c r="I41" s="34"/>
      <c r="J41" s="34">
        <f>G39-'[1]прил 3 испр'!H26</f>
        <v>-10.904156358057264</v>
      </c>
      <c r="K41" s="34">
        <f>H39-'[1]прил 3 испр'!I26</f>
        <v>17.51967822242773</v>
      </c>
      <c r="L41" s="34"/>
      <c r="M41" s="34"/>
      <c r="N41" s="34">
        <f>I39-'[1]прил 3 испр'!J26</f>
        <v>2.1741544400719874</v>
      </c>
      <c r="O41" s="34">
        <f>J39-'[1]прил 3 испр'!K26</f>
        <v>-4.1175597262856485</v>
      </c>
      <c r="P41" s="34">
        <f>K39-'[1]прил 3 испр'!L26</f>
        <v>0.24038639761849723</v>
      </c>
      <c r="Q41" s="34">
        <f>L39-'[1]прил 3 испр'!M26</f>
        <v>-963.9773195168364</v>
      </c>
      <c r="R41" s="34"/>
      <c r="S41" s="41"/>
      <c r="T41" s="53"/>
      <c r="V41" s="53"/>
    </row>
    <row r="42" spans="1:22" s="5" customFormat="1" ht="15.75" hidden="1">
      <c r="A42" s="54"/>
      <c r="B42" s="34"/>
      <c r="C42" s="34"/>
      <c r="D42" s="149">
        <f>D41+F41</f>
        <v>13.185253890434979</v>
      </c>
      <c r="E42" s="149"/>
      <c r="F42" s="149"/>
      <c r="G42" s="55"/>
      <c r="H42" s="55"/>
      <c r="I42" s="34"/>
      <c r="J42" s="34"/>
      <c r="K42" s="34"/>
      <c r="L42" s="34"/>
      <c r="M42" s="34"/>
      <c r="N42" s="34"/>
      <c r="O42" s="34"/>
      <c r="P42" s="34"/>
      <c r="Q42" s="43"/>
      <c r="R42" s="43"/>
      <c r="S42" s="41"/>
      <c r="T42" s="53"/>
      <c r="V42" s="53"/>
    </row>
    <row r="43" spans="1:21" s="61" customFormat="1" ht="12.7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7"/>
      <c r="P43" s="57"/>
      <c r="Q43" s="57"/>
      <c r="R43" s="57"/>
      <c r="S43" s="59"/>
      <c r="T43" s="60"/>
      <c r="U43" s="60"/>
    </row>
    <row r="44" spans="1:18" s="64" customFormat="1" ht="33.75" customHeight="1">
      <c r="A44" s="161" t="s">
        <v>29</v>
      </c>
      <c r="B44" s="161" t="s">
        <v>30</v>
      </c>
      <c r="C44" s="168" t="s">
        <v>31</v>
      </c>
      <c r="D44" s="169"/>
      <c r="E44" s="169"/>
      <c r="F44" s="170"/>
      <c r="G44" s="168" t="s">
        <v>32</v>
      </c>
      <c r="H44" s="171"/>
      <c r="I44" s="170"/>
      <c r="J44" s="168" t="s">
        <v>33</v>
      </c>
      <c r="K44" s="169"/>
      <c r="L44" s="169"/>
      <c r="M44" s="170"/>
      <c r="N44" s="165"/>
      <c r="O44" s="166"/>
      <c r="P44" s="166"/>
      <c r="Q44" s="166"/>
      <c r="R44" s="167"/>
    </row>
    <row r="45" spans="1:18" s="64" customFormat="1" ht="31.5">
      <c r="A45" s="161"/>
      <c r="B45" s="161"/>
      <c r="C45" s="62" t="s">
        <v>27</v>
      </c>
      <c r="D45" s="62" t="s">
        <v>34</v>
      </c>
      <c r="E45" s="62" t="s">
        <v>35</v>
      </c>
      <c r="F45" s="62" t="s">
        <v>36</v>
      </c>
      <c r="G45" s="62" t="s">
        <v>34</v>
      </c>
      <c r="H45" s="62" t="s">
        <v>35</v>
      </c>
      <c r="I45" s="62" t="s">
        <v>36</v>
      </c>
      <c r="J45" s="62" t="s">
        <v>27</v>
      </c>
      <c r="K45" s="62" t="s">
        <v>34</v>
      </c>
      <c r="L45" s="62" t="s">
        <v>35</v>
      </c>
      <c r="M45" s="62" t="s">
        <v>36</v>
      </c>
      <c r="N45" s="65"/>
      <c r="O45" s="63"/>
      <c r="P45" s="66"/>
      <c r="Q45" s="66"/>
      <c r="R45" s="66"/>
    </row>
    <row r="46" spans="1:20" s="76" customFormat="1" ht="25.5" customHeight="1">
      <c r="A46" s="157">
        <v>3270289.44</v>
      </c>
      <c r="B46" s="68" t="s">
        <v>37</v>
      </c>
      <c r="C46" s="67">
        <f>D46+F46+E46</f>
        <v>265.4357</v>
      </c>
      <c r="D46" s="71">
        <v>78.905</v>
      </c>
      <c r="E46" s="71">
        <v>63.8766</v>
      </c>
      <c r="F46" s="67">
        <v>122.6541</v>
      </c>
      <c r="G46" s="67">
        <f>'[2]Расчет тарифа на потери ИТОГ'!C7</f>
        <v>2252.80823399565</v>
      </c>
      <c r="H46" s="67">
        <f>'[2]Расчет тарифа на потери ИТОГ'!D7</f>
        <v>1319.4391837386752</v>
      </c>
      <c r="I46" s="67">
        <f>'[2]Расчет тарифа на потери ИТОГ'!E7</f>
        <v>1565.401254195783</v>
      </c>
      <c r="J46" s="67">
        <f>K46+M46+L46</f>
        <v>454042.0046396836</v>
      </c>
      <c r="K46" s="67">
        <f>D46*G46</f>
        <v>177757.83370342676</v>
      </c>
      <c r="L46" s="67">
        <f>E46*H46</f>
        <v>84281.28896400187</v>
      </c>
      <c r="M46" s="67">
        <f>F46*I46</f>
        <v>192002.88197225498</v>
      </c>
      <c r="N46" s="72"/>
      <c r="O46" s="73"/>
      <c r="P46" s="72"/>
      <c r="Q46" s="72"/>
      <c r="R46" s="72"/>
      <c r="S46" s="74"/>
      <c r="T46" s="75"/>
    </row>
    <row r="47" spans="1:18" s="64" customFormat="1" ht="15.75">
      <c r="A47" s="158"/>
      <c r="B47" s="77" t="s">
        <v>9</v>
      </c>
      <c r="C47" s="67">
        <f>D47+F47+E47</f>
        <v>265.4357</v>
      </c>
      <c r="D47" s="78">
        <f>D46</f>
        <v>78.905</v>
      </c>
      <c r="E47" s="78">
        <f>E46</f>
        <v>63.8766</v>
      </c>
      <c r="F47" s="78">
        <f>F46</f>
        <v>122.6541</v>
      </c>
      <c r="G47" s="42" t="s">
        <v>38</v>
      </c>
      <c r="H47" s="42" t="s">
        <v>38</v>
      </c>
      <c r="I47" s="42" t="s">
        <v>38</v>
      </c>
      <c r="J47" s="67">
        <f>K47+M47+L47</f>
        <v>454042.0046396836</v>
      </c>
      <c r="K47" s="42">
        <f>K46</f>
        <v>177757.83370342676</v>
      </c>
      <c r="L47" s="42">
        <f>L46</f>
        <v>84281.28896400187</v>
      </c>
      <c r="M47" s="42">
        <f>M46</f>
        <v>192002.88197225498</v>
      </c>
      <c r="N47" s="72"/>
      <c r="O47" s="47"/>
      <c r="P47" s="79"/>
      <c r="Q47" s="79"/>
      <c r="R47" s="79"/>
    </row>
    <row r="48" spans="1:14" ht="15.75">
      <c r="A48" s="80"/>
      <c r="J48" s="81"/>
      <c r="K48" s="81"/>
      <c r="L48" s="81"/>
      <c r="M48" s="81"/>
      <c r="N48" s="82"/>
    </row>
    <row r="49" spans="2:21" ht="12.75" hidden="1">
      <c r="B49" s="81"/>
      <c r="J49" s="83"/>
      <c r="K49" s="83"/>
      <c r="L49" s="83"/>
      <c r="M49" s="83"/>
      <c r="N49" s="84"/>
      <c r="Q49" s="85">
        <f>L40-A46-K46</f>
        <v>3487861.899189467</v>
      </c>
      <c r="R49" s="85"/>
      <c r="U49" s="81"/>
    </row>
    <row r="52" ht="12.75">
      <c r="N52" s="82"/>
    </row>
    <row r="53" ht="12.75">
      <c r="N53" s="82"/>
    </row>
    <row r="54" ht="12.75">
      <c r="N54" s="82"/>
    </row>
  </sheetData>
  <sheetProtection formatColumns="0" formatRows="0" autoFilter="0"/>
  <mergeCells count="24">
    <mergeCell ref="N44:R44"/>
    <mergeCell ref="C44:F44"/>
    <mergeCell ref="G44:I44"/>
    <mergeCell ref="L11:L12"/>
    <mergeCell ref="I11:I12"/>
    <mergeCell ref="J11:J12"/>
    <mergeCell ref="K11:K12"/>
    <mergeCell ref="J44:M44"/>
    <mergeCell ref="G16:K16"/>
    <mergeCell ref="G24:K24"/>
    <mergeCell ref="A46:A47"/>
    <mergeCell ref="F11:F12"/>
    <mergeCell ref="H11:H12"/>
    <mergeCell ref="A44:A45"/>
    <mergeCell ref="B44:B45"/>
    <mergeCell ref="G11:G12"/>
    <mergeCell ref="G32:K32"/>
    <mergeCell ref="J1:Q1"/>
    <mergeCell ref="A3:Q3"/>
    <mergeCell ref="D42:F42"/>
    <mergeCell ref="A11:A12"/>
    <mergeCell ref="A9:O9"/>
    <mergeCell ref="B11:E11"/>
    <mergeCell ref="I6:N7"/>
  </mergeCells>
  <dataValidations count="2">
    <dataValidation type="decimal" allowBlank="1" showErrorMessage="1" errorTitle="Ошибка" error="Допускается ввод только действительных чисел!" sqref="I31:K31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G11:K11 I10:N10 I6 I8:N8 I5:N5">
      <formula1>900</formula1>
    </dataValidation>
  </dataValidations>
  <printOptions/>
  <pageMargins left="0.29" right="0.16" top="0.31" bottom="0.15" header="0.47" footer="0.2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view="pageBreakPreview" zoomScaleSheetLayoutView="100" workbookViewId="0" topLeftCell="A7">
      <selection activeCell="B19" sqref="B19"/>
    </sheetView>
  </sheetViews>
  <sheetFormatPr defaultColWidth="15.00390625" defaultRowHeight="12.75"/>
  <cols>
    <col min="1" max="1" width="45.25390625" style="1" customWidth="1"/>
    <col min="2" max="2" width="16.125" style="1" customWidth="1"/>
    <col min="3" max="3" width="17.75390625" style="1" customWidth="1"/>
    <col min="4" max="4" width="17.625" style="1" customWidth="1"/>
    <col min="5" max="5" width="17.375" style="1" customWidth="1"/>
    <col min="6" max="6" width="18.00390625" style="1" customWidth="1"/>
    <col min="7" max="7" width="11.625" style="1" customWidth="1"/>
    <col min="8" max="8" width="42.00390625" style="1" customWidth="1"/>
    <col min="9" max="9" width="14.125" style="1" customWidth="1"/>
    <col min="10" max="10" width="32.625" style="1" customWidth="1"/>
    <col min="11" max="11" width="12.375" style="1" bestFit="1" customWidth="1"/>
    <col min="12" max="242" width="9.125" style="1" customWidth="1"/>
    <col min="243" max="243" width="39.375" style="1" customWidth="1"/>
    <col min="244" max="16384" width="15.00390625" style="1" customWidth="1"/>
  </cols>
  <sheetData>
    <row r="1" spans="3:9" ht="71.25" customHeight="1">
      <c r="C1" s="172" t="s">
        <v>93</v>
      </c>
      <c r="D1" s="172"/>
      <c r="E1" s="172"/>
      <c r="F1" s="86"/>
      <c r="G1" s="86"/>
      <c r="H1" s="86"/>
      <c r="I1" s="86"/>
    </row>
    <row r="3" spans="1:5" s="5" customFormat="1" ht="37.5" customHeight="1">
      <c r="A3" s="173" t="s">
        <v>43</v>
      </c>
      <c r="B3" s="173"/>
      <c r="C3" s="173"/>
      <c r="D3" s="173"/>
      <c r="E3" s="173"/>
    </row>
    <row r="4" spans="1:5" s="5" customFormat="1" ht="15.75">
      <c r="A4" s="6"/>
      <c r="B4" s="6"/>
      <c r="C4" s="6"/>
      <c r="D4" s="6"/>
      <c r="E4" s="6"/>
    </row>
    <row r="5" spans="1:5" s="5" customFormat="1" ht="15.75" customHeight="1">
      <c r="A5" s="150" t="s">
        <v>2</v>
      </c>
      <c r="B5" s="135" t="s">
        <v>11</v>
      </c>
      <c r="C5" s="135"/>
      <c r="D5" s="136" t="s">
        <v>7</v>
      </c>
      <c r="E5" s="159" t="s">
        <v>9</v>
      </c>
    </row>
    <row r="6" spans="1:5" s="5" customFormat="1" ht="58.5" customHeight="1">
      <c r="A6" s="150"/>
      <c r="B6" s="21" t="s">
        <v>14</v>
      </c>
      <c r="C6" s="21" t="s">
        <v>15</v>
      </c>
      <c r="D6" s="137"/>
      <c r="E6" s="159"/>
    </row>
    <row r="7" spans="1:5" s="5" customFormat="1" ht="15.75">
      <c r="A7" s="26" t="s">
        <v>16</v>
      </c>
      <c r="B7" s="27"/>
      <c r="C7" s="27"/>
      <c r="D7" s="27"/>
      <c r="E7" s="27"/>
    </row>
    <row r="8" spans="1:5" s="5" customFormat="1" ht="15.75">
      <c r="A8" s="26" t="s">
        <v>17</v>
      </c>
      <c r="B8" s="27"/>
      <c r="C8" s="27"/>
      <c r="D8" s="27"/>
      <c r="E8" s="27"/>
    </row>
    <row r="9" spans="1:7" s="5" customFormat="1" ht="17.25" customHeight="1">
      <c r="A9" s="30" t="s">
        <v>39</v>
      </c>
      <c r="B9" s="87">
        <f>0.3165/2</f>
        <v>0.15825</v>
      </c>
      <c r="C9" s="87">
        <f>90/1000/2</f>
        <v>0.045</v>
      </c>
      <c r="D9" s="87">
        <f>500/1000/2</f>
        <v>0.25</v>
      </c>
      <c r="E9" s="87">
        <f>SUM(B9:D9)</f>
        <v>0.45325</v>
      </c>
      <c r="F9" s="35"/>
      <c r="G9" s="36"/>
    </row>
    <row r="10" spans="1:11" s="5" customFormat="1" ht="18" customHeight="1">
      <c r="A10" s="30" t="s">
        <v>19</v>
      </c>
      <c r="B10" s="32">
        <v>0.11082038825030667</v>
      </c>
      <c r="C10" s="32">
        <v>0.02893307261597344</v>
      </c>
      <c r="D10" s="32">
        <v>0.1431389873267454</v>
      </c>
      <c r="E10" s="32">
        <f>SUM(B10:D10)</f>
        <v>0.2828924481930255</v>
      </c>
      <c r="H10" s="39"/>
      <c r="I10" s="39"/>
      <c r="J10" s="39"/>
      <c r="K10" s="39"/>
    </row>
    <row r="11" spans="1:11" s="5" customFormat="1" ht="31.5">
      <c r="A11" s="30" t="s">
        <v>20</v>
      </c>
      <c r="B11" s="32">
        <f>'[2]прил. 2'!D17</f>
        <v>1727766.8377624326</v>
      </c>
      <c r="C11" s="32">
        <f>'[2]прил. 2'!E17</f>
        <v>1745243.7078231736</v>
      </c>
      <c r="D11" s="32"/>
      <c r="E11" s="32"/>
      <c r="H11" s="39"/>
      <c r="I11" s="39"/>
      <c r="J11" s="39"/>
      <c r="K11" s="39"/>
    </row>
    <row r="12" spans="1:5" s="5" customFormat="1" ht="15.75">
      <c r="A12" s="30" t="s">
        <v>42</v>
      </c>
      <c r="B12" s="32">
        <f>'[2]прил. 2'!D18</f>
        <v>288.36</v>
      </c>
      <c r="C12" s="32">
        <f>'[2]прил. 2'!E18</f>
        <v>743.63</v>
      </c>
      <c r="D12" s="32"/>
      <c r="E12" s="32"/>
    </row>
    <row r="13" spans="1:8" s="5" customFormat="1" ht="15.75">
      <c r="A13" s="30" t="s">
        <v>41</v>
      </c>
      <c r="B13" s="32">
        <f>(B9*B12+B10*0.003*B11)/B9</f>
        <v>3918.1570003191923</v>
      </c>
      <c r="C13" s="32">
        <f>(C9*C12+C10*0.003*C11)/C9</f>
        <v>4109.980862067908</v>
      </c>
      <c r="D13" s="32">
        <f>'[2]прил. 2'!J19</f>
        <v>1539.9210476000007</v>
      </c>
      <c r="E13" s="32"/>
      <c r="F13" s="50"/>
      <c r="H13" s="35"/>
    </row>
    <row r="14" spans="1:8" s="5" customFormat="1" ht="15.75">
      <c r="A14" s="30" t="s">
        <v>28</v>
      </c>
      <c r="B14" s="32">
        <f>B9*B13</f>
        <v>620.0483453005122</v>
      </c>
      <c r="C14" s="32">
        <f>C9*C13</f>
        <v>184.94913879305585</v>
      </c>
      <c r="D14" s="32">
        <f>D9*D13</f>
        <v>384.9802619000002</v>
      </c>
      <c r="E14" s="42">
        <f>B14+C14+D14</f>
        <v>1189.9777459935683</v>
      </c>
      <c r="F14" s="41"/>
      <c r="G14" s="44"/>
      <c r="H14" s="35"/>
    </row>
    <row r="15" spans="1:8" s="5" customFormat="1" ht="15.75">
      <c r="A15" s="30"/>
      <c r="B15" s="32"/>
      <c r="C15" s="32"/>
      <c r="D15" s="32"/>
      <c r="E15" s="42"/>
      <c r="F15" s="41"/>
      <c r="G15" s="44"/>
      <c r="H15" s="35"/>
    </row>
    <row r="16" spans="1:8" s="5" customFormat="1" ht="15.75">
      <c r="A16" s="26" t="s">
        <v>22</v>
      </c>
      <c r="B16" s="32"/>
      <c r="C16" s="32"/>
      <c r="D16" s="32"/>
      <c r="E16" s="42"/>
      <c r="F16" s="41"/>
      <c r="G16" s="44"/>
      <c r="H16" s="35"/>
    </row>
    <row r="17" spans="1:8" s="5" customFormat="1" ht="21" customHeight="1">
      <c r="A17" s="30" t="s">
        <v>39</v>
      </c>
      <c r="B17" s="87">
        <f>B9</f>
        <v>0.15825</v>
      </c>
      <c r="C17" s="87">
        <f>C9</f>
        <v>0.045</v>
      </c>
      <c r="D17" s="87">
        <f>D9</f>
        <v>0.25</v>
      </c>
      <c r="E17" s="87">
        <f>SUM(B17:D17)</f>
        <v>0.45325</v>
      </c>
      <c r="F17" s="41"/>
      <c r="G17" s="44"/>
      <c r="H17" s="35"/>
    </row>
    <row r="18" spans="1:8" s="5" customFormat="1" ht="15.75">
      <c r="A18" s="30" t="s">
        <v>19</v>
      </c>
      <c r="B18" s="32">
        <v>0.11082038825030666</v>
      </c>
      <c r="C18" s="32">
        <v>0.028933072615973436</v>
      </c>
      <c r="D18" s="32">
        <v>0.142948512929042</v>
      </c>
      <c r="E18" s="32">
        <f>SUM(B18:D18)</f>
        <v>0.28270197379532214</v>
      </c>
      <c r="F18" s="41"/>
      <c r="G18" s="44"/>
      <c r="H18" s="35"/>
    </row>
    <row r="19" spans="1:8" s="5" customFormat="1" ht="31.5">
      <c r="A19" s="30" t="s">
        <v>20</v>
      </c>
      <c r="B19" s="32">
        <f>'[2]прил. 2'!D25</f>
        <v>1574064.6443173245</v>
      </c>
      <c r="C19" s="32">
        <f>'[2]прил. 2'!E25</f>
        <v>1670128.395</v>
      </c>
      <c r="D19" s="32"/>
      <c r="E19" s="42"/>
      <c r="F19" s="41"/>
      <c r="G19" s="44"/>
      <c r="H19" s="35"/>
    </row>
    <row r="20" spans="1:8" s="5" customFormat="1" ht="15.75">
      <c r="A20" s="30" t="s">
        <v>42</v>
      </c>
      <c r="B20" s="32">
        <f>'[2]прил. 2'!D26</f>
        <v>175.52987503909515</v>
      </c>
      <c r="C20" s="32">
        <f>'[2]прил. 2'!E26</f>
        <v>444.6710680534616</v>
      </c>
      <c r="D20" s="32"/>
      <c r="E20" s="42"/>
      <c r="F20" s="41"/>
      <c r="G20" s="44"/>
      <c r="H20" s="35"/>
    </row>
    <row r="21" spans="1:8" s="5" customFormat="1" ht="15.75">
      <c r="A21" s="30" t="s">
        <v>41</v>
      </c>
      <c r="B21" s="32">
        <f>(B17*B20+B18*0.003*B19)/B17</f>
        <v>3482.4200174907874</v>
      </c>
      <c r="C21" s="32">
        <f>(C17*C20+C18*0.003*C19)/C17</f>
        <v>3666.134143422406</v>
      </c>
      <c r="D21" s="32">
        <f>'[2]прил. 2'!G27</f>
        <v>1539.9210476000007</v>
      </c>
      <c r="E21" s="42"/>
      <c r="F21" s="41"/>
      <c r="G21" s="44"/>
      <c r="H21" s="35"/>
    </row>
    <row r="22" spans="1:8" s="5" customFormat="1" ht="15.75">
      <c r="A22" s="30" t="s">
        <v>28</v>
      </c>
      <c r="B22" s="32">
        <f>B17*B21</f>
        <v>551.0929677679171</v>
      </c>
      <c r="C22" s="32">
        <f>C17*C21</f>
        <v>164.97603645400827</v>
      </c>
      <c r="D22" s="32">
        <f>D17*D21</f>
        <v>384.9802619000002</v>
      </c>
      <c r="E22" s="42">
        <f>B22+C22+D22</f>
        <v>1101.0492661219255</v>
      </c>
      <c r="F22" s="41"/>
      <c r="G22" s="44"/>
      <c r="H22" s="35"/>
    </row>
    <row r="23" spans="1:8" s="5" customFormat="1" ht="15.75">
      <c r="A23" s="30"/>
      <c r="B23" s="32"/>
      <c r="C23" s="32"/>
      <c r="D23" s="32"/>
      <c r="E23" s="42"/>
      <c r="F23" s="41"/>
      <c r="G23" s="44"/>
      <c r="H23" s="35"/>
    </row>
    <row r="24" spans="1:8" s="5" customFormat="1" ht="15.75">
      <c r="A24" s="26" t="s">
        <v>26</v>
      </c>
      <c r="B24" s="32"/>
      <c r="C24" s="32"/>
      <c r="D24" s="32"/>
      <c r="E24" s="42"/>
      <c r="F24" s="41"/>
      <c r="G24" s="44"/>
      <c r="H24" s="35"/>
    </row>
    <row r="25" spans="1:8" s="5" customFormat="1" ht="21" customHeight="1">
      <c r="A25" s="30" t="s">
        <v>39</v>
      </c>
      <c r="B25" s="87">
        <v>0.3165</v>
      </c>
      <c r="C25" s="87">
        <f>90/1000</f>
        <v>0.09</v>
      </c>
      <c r="D25" s="87">
        <f>500/1000</f>
        <v>0.5</v>
      </c>
      <c r="E25" s="87">
        <f>SUM(B25:D25)</f>
        <v>0.9065</v>
      </c>
      <c r="F25" s="41"/>
      <c r="G25" s="44"/>
      <c r="H25" s="35"/>
    </row>
    <row r="26" spans="1:8" s="5" customFormat="1" ht="15.75">
      <c r="A26" s="30" t="s">
        <v>19</v>
      </c>
      <c r="B26" s="32">
        <v>0.10830658209094676</v>
      </c>
      <c r="C26" s="32">
        <v>0.02827674915696239</v>
      </c>
      <c r="D26" s="32">
        <v>0.14330140209287134</v>
      </c>
      <c r="E26" s="32">
        <f>SUM(B26:D26)</f>
        <v>0.2798847333407805</v>
      </c>
      <c r="F26" s="41"/>
      <c r="G26" s="44"/>
      <c r="H26" s="35"/>
    </row>
    <row r="27" spans="1:8" s="5" customFormat="1" ht="31.5">
      <c r="A27" s="30" t="s">
        <v>20</v>
      </c>
      <c r="B27" s="32">
        <f>'[2]прил. 2'!D33</f>
        <v>1596666.2658100002</v>
      </c>
      <c r="C27" s="32">
        <f>'[2]прил. 2'!E33</f>
        <v>1663433.1723046529</v>
      </c>
      <c r="D27" s="32"/>
      <c r="E27" s="42"/>
      <c r="F27" s="41"/>
      <c r="G27" s="44"/>
      <c r="H27" s="35"/>
    </row>
    <row r="28" spans="1:8" s="5" customFormat="1" ht="15.75">
      <c r="A28" s="30" t="s">
        <v>42</v>
      </c>
      <c r="B28" s="32">
        <f>'[2]прил. 2'!D34</f>
        <v>204.136302044895</v>
      </c>
      <c r="C28" s="32">
        <f>'[2]прил. 2'!E34</f>
        <v>530.3686399138141</v>
      </c>
      <c r="D28" s="32"/>
      <c r="E28" s="42"/>
      <c r="F28" s="41"/>
      <c r="G28" s="44"/>
      <c r="H28" s="35"/>
    </row>
    <row r="29" spans="1:8" s="5" customFormat="1" ht="15.75">
      <c r="A29" s="30" t="s">
        <v>41</v>
      </c>
      <c r="B29" s="32">
        <f>(B25*B28+B26*0.006*B27)/B25</f>
        <v>3482.420017491269</v>
      </c>
      <c r="C29" s="32">
        <f>(C25*C28+C26*0.006*C27)/C25</f>
        <v>3666.134143422406</v>
      </c>
      <c r="D29" s="32">
        <f>'[2]прил. 2'!J35</f>
        <v>1488.9248660771962</v>
      </c>
      <c r="E29" s="42"/>
      <c r="F29" s="41"/>
      <c r="G29" s="44"/>
      <c r="H29" s="35"/>
    </row>
    <row r="30" spans="1:8" s="5" customFormat="1" ht="17.25" customHeight="1">
      <c r="A30" s="30" t="s">
        <v>28</v>
      </c>
      <c r="B30" s="32">
        <f>B25*B29</f>
        <v>1102.1859355359866</v>
      </c>
      <c r="C30" s="32">
        <f>C25*C29</f>
        <v>329.95207290801653</v>
      </c>
      <c r="D30" s="32">
        <f>D25*D29</f>
        <v>744.4624330385981</v>
      </c>
      <c r="E30" s="42">
        <f>B30+C30+D30</f>
        <v>2176.600441482601</v>
      </c>
      <c r="F30" s="41"/>
      <c r="G30" s="44"/>
      <c r="H30" s="35"/>
    </row>
    <row r="31" spans="1:6" s="5" customFormat="1" ht="15.75">
      <c r="A31" s="30"/>
      <c r="B31" s="32"/>
      <c r="C31" s="32"/>
      <c r="D31" s="32"/>
      <c r="E31" s="32"/>
      <c r="F31" s="50"/>
    </row>
    <row r="32" spans="1:6" s="5" customFormat="1" ht="15.75">
      <c r="A32" s="23" t="s">
        <v>27</v>
      </c>
      <c r="B32" s="32"/>
      <c r="C32" s="32"/>
      <c r="D32" s="32"/>
      <c r="E32" s="32"/>
      <c r="F32" s="50"/>
    </row>
    <row r="33" spans="1:7" s="5" customFormat="1" ht="18" customHeight="1">
      <c r="A33" s="30" t="s">
        <v>39</v>
      </c>
      <c r="B33" s="87">
        <f>B9+B25+B17</f>
        <v>0.633</v>
      </c>
      <c r="C33" s="87">
        <f>C9+C25+C17</f>
        <v>0.18</v>
      </c>
      <c r="D33" s="87">
        <f>D9+D25+D17</f>
        <v>1</v>
      </c>
      <c r="E33" s="87">
        <f>E9+E25+E17</f>
        <v>1.813</v>
      </c>
      <c r="F33" s="52"/>
      <c r="G33" s="53"/>
    </row>
    <row r="34" spans="1:9" s="5" customFormat="1" ht="17.25" customHeight="1">
      <c r="A34" s="30" t="s">
        <v>28</v>
      </c>
      <c r="B34" s="32">
        <f>B14+B30+B22</f>
        <v>2273.327248604416</v>
      </c>
      <c r="C34" s="32">
        <f>C14+C30+C22</f>
        <v>679.8772481550807</v>
      </c>
      <c r="D34" s="32">
        <f>D14+D30+D22</f>
        <v>1514.4229568385986</v>
      </c>
      <c r="E34" s="42">
        <f>E14+E30+E22</f>
        <v>4467.627453598096</v>
      </c>
      <c r="F34" s="41"/>
      <c r="G34" s="53"/>
      <c r="I34" s="53"/>
    </row>
    <row r="35" spans="1:8" s="61" customFormat="1" ht="15.75">
      <c r="A35" s="56"/>
      <c r="B35" s="57"/>
      <c r="C35" s="57"/>
      <c r="D35" s="57"/>
      <c r="E35" s="57"/>
      <c r="F35" s="59"/>
      <c r="G35" s="60"/>
      <c r="H35" s="60"/>
    </row>
    <row r="37" spans="5:8" ht="12.75" hidden="1">
      <c r="E37" s="85"/>
      <c r="H37" s="81"/>
    </row>
    <row r="38" ht="12.75">
      <c r="E38" s="81"/>
    </row>
  </sheetData>
  <sheetProtection formatColumns="0" formatRows="0" autoFilter="0"/>
  <mergeCells count="6">
    <mergeCell ref="C1:E1"/>
    <mergeCell ref="A3:E3"/>
    <mergeCell ref="A5:A6"/>
    <mergeCell ref="B5:C5"/>
    <mergeCell ref="D5:D6"/>
    <mergeCell ref="E5:E6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5">
      <formula1>900</formula1>
    </dataValidation>
  </dataValidations>
  <printOptions/>
  <pageMargins left="0.75" right="0.75" top="1" bottom="1" header="0.5" footer="0.5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view="pageBreakPreview" zoomScale="85" zoomScaleSheetLayoutView="85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S11" sqref="S11"/>
    </sheetView>
  </sheetViews>
  <sheetFormatPr defaultColWidth="9.00390625" defaultRowHeight="12.75"/>
  <cols>
    <col min="1" max="1" width="3.375" style="88" customWidth="1"/>
    <col min="2" max="2" width="35.00390625" style="89" customWidth="1"/>
    <col min="3" max="3" width="13.625" style="89" customWidth="1"/>
    <col min="4" max="4" width="14.875" style="89" customWidth="1"/>
    <col min="5" max="5" width="9.875" style="89" customWidth="1"/>
    <col min="6" max="6" width="14.00390625" style="90" customWidth="1"/>
    <col min="7" max="7" width="15.25390625" style="90" customWidth="1"/>
    <col min="8" max="8" width="10.75390625" style="90" customWidth="1"/>
    <col min="9" max="9" width="14.00390625" style="90" customWidth="1"/>
    <col min="10" max="10" width="15.875" style="90" customWidth="1"/>
    <col min="11" max="11" width="10.25390625" style="90" customWidth="1"/>
    <col min="12" max="12" width="12.625" style="89" customWidth="1"/>
    <col min="13" max="14" width="13.25390625" style="89" customWidth="1"/>
    <col min="15" max="15" width="11.875" style="89" customWidth="1"/>
    <col min="16" max="16" width="11.75390625" style="89" customWidth="1"/>
    <col min="17" max="17" width="12.875" style="89" customWidth="1"/>
    <col min="18" max="18" width="13.75390625" style="89" customWidth="1"/>
    <col min="19" max="19" width="12.875" style="89" customWidth="1"/>
    <col min="20" max="20" width="10.375" style="89" bestFit="1" customWidth="1"/>
    <col min="21" max="21" width="12.75390625" style="89" bestFit="1" customWidth="1"/>
    <col min="22" max="22" width="11.75390625" style="89" bestFit="1" customWidth="1"/>
    <col min="23" max="23" width="14.375" style="89" bestFit="1" customWidth="1"/>
    <col min="24" max="24" width="9.125" style="89" customWidth="1"/>
    <col min="25" max="25" width="14.125" style="89" bestFit="1" customWidth="1"/>
    <col min="26" max="28" width="10.00390625" style="89" bestFit="1" customWidth="1"/>
    <col min="29" max="16384" width="9.125" style="89" customWidth="1"/>
  </cols>
  <sheetData>
    <row r="1" spans="12:19" ht="37.5" customHeight="1">
      <c r="L1" s="134" t="s">
        <v>94</v>
      </c>
      <c r="M1" s="134"/>
      <c r="N1" s="134"/>
      <c r="O1" s="134"/>
      <c r="P1" s="134"/>
      <c r="Q1" s="134"/>
      <c r="R1" s="134"/>
      <c r="S1" s="134"/>
    </row>
    <row r="2" spans="12:15" ht="21" customHeight="1">
      <c r="L2" s="91"/>
      <c r="M2" s="91"/>
      <c r="N2" s="91"/>
      <c r="O2" s="91"/>
    </row>
    <row r="3" spans="1:19" ht="38.25" customHeight="1">
      <c r="A3" s="174" t="s">
        <v>91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ht="12.75" customHeight="1"/>
    <row r="5" spans="1:19" s="70" customFormat="1" ht="26.25" customHeight="1">
      <c r="A5" s="146" t="s">
        <v>44</v>
      </c>
      <c r="B5" s="146" t="s">
        <v>45</v>
      </c>
      <c r="C5" s="139" t="s">
        <v>46</v>
      </c>
      <c r="D5" s="139"/>
      <c r="E5" s="139"/>
      <c r="F5" s="139" t="s">
        <v>47</v>
      </c>
      <c r="G5" s="139"/>
      <c r="H5" s="139"/>
      <c r="I5" s="141" t="s">
        <v>48</v>
      </c>
      <c r="J5" s="141"/>
      <c r="K5" s="141"/>
      <c r="L5" s="146" t="s">
        <v>49</v>
      </c>
      <c r="M5" s="175" t="s">
        <v>72</v>
      </c>
      <c r="N5" s="176"/>
      <c r="O5" s="177"/>
      <c r="P5" s="146" t="s">
        <v>50</v>
      </c>
      <c r="Q5" s="146"/>
      <c r="R5" s="146"/>
      <c r="S5" s="138"/>
    </row>
    <row r="6" spans="1:21" s="70" customFormat="1" ht="2.25" customHeight="1">
      <c r="A6" s="146"/>
      <c r="B6" s="138"/>
      <c r="C6" s="140"/>
      <c r="D6" s="140"/>
      <c r="E6" s="140"/>
      <c r="F6" s="140"/>
      <c r="G6" s="140"/>
      <c r="H6" s="140"/>
      <c r="I6" s="142"/>
      <c r="J6" s="142"/>
      <c r="K6" s="142"/>
      <c r="L6" s="138"/>
      <c r="M6" s="178"/>
      <c r="N6" s="179"/>
      <c r="O6" s="180"/>
      <c r="P6" s="138"/>
      <c r="Q6" s="138"/>
      <c r="R6" s="138"/>
      <c r="S6" s="138"/>
      <c r="T6" s="133"/>
      <c r="U6" s="133"/>
    </row>
    <row r="7" spans="1:21" s="70" customFormat="1" ht="14.25" customHeight="1">
      <c r="A7" s="146"/>
      <c r="B7" s="138"/>
      <c r="C7" s="140" t="s">
        <v>51</v>
      </c>
      <c r="D7" s="140" t="s">
        <v>52</v>
      </c>
      <c r="E7" s="140" t="s">
        <v>53</v>
      </c>
      <c r="F7" s="140" t="s">
        <v>51</v>
      </c>
      <c r="G7" s="140" t="s">
        <v>52</v>
      </c>
      <c r="H7" s="140" t="s">
        <v>53</v>
      </c>
      <c r="I7" s="139" t="s">
        <v>51</v>
      </c>
      <c r="J7" s="140" t="s">
        <v>52</v>
      </c>
      <c r="K7" s="140" t="s">
        <v>53</v>
      </c>
      <c r="L7" s="138"/>
      <c r="M7" s="138" t="s">
        <v>54</v>
      </c>
      <c r="N7" s="138" t="s">
        <v>55</v>
      </c>
      <c r="O7" s="138" t="s">
        <v>48</v>
      </c>
      <c r="P7" s="138" t="s">
        <v>27</v>
      </c>
      <c r="Q7" s="138" t="s">
        <v>54</v>
      </c>
      <c r="R7" s="138" t="s">
        <v>55</v>
      </c>
      <c r="S7" s="138" t="s">
        <v>48</v>
      </c>
      <c r="T7" s="145"/>
      <c r="U7" s="145"/>
    </row>
    <row r="8" spans="1:32" s="70" customFormat="1" ht="60" customHeight="1">
      <c r="A8" s="146"/>
      <c r="B8" s="138"/>
      <c r="C8" s="140"/>
      <c r="D8" s="140"/>
      <c r="E8" s="140"/>
      <c r="F8" s="140"/>
      <c r="G8" s="140"/>
      <c r="H8" s="140"/>
      <c r="I8" s="139"/>
      <c r="J8" s="140"/>
      <c r="K8" s="140"/>
      <c r="L8" s="138"/>
      <c r="M8" s="138"/>
      <c r="N8" s="138"/>
      <c r="O8" s="138"/>
      <c r="P8" s="138"/>
      <c r="Q8" s="138"/>
      <c r="R8" s="138"/>
      <c r="S8" s="138"/>
      <c r="T8" s="145"/>
      <c r="U8" s="145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</row>
    <row r="9" spans="1:32" s="70" customFormat="1" ht="12.75" customHeight="1">
      <c r="A9" s="45">
        <v>1</v>
      </c>
      <c r="B9" s="92">
        <v>2</v>
      </c>
      <c r="C9" s="45">
        <v>3</v>
      </c>
      <c r="D9" s="92">
        <v>4</v>
      </c>
      <c r="E9" s="45">
        <v>5</v>
      </c>
      <c r="F9" s="92">
        <v>6</v>
      </c>
      <c r="G9" s="45">
        <v>7</v>
      </c>
      <c r="H9" s="92">
        <v>8</v>
      </c>
      <c r="I9" s="45">
        <v>9</v>
      </c>
      <c r="J9" s="92">
        <v>10</v>
      </c>
      <c r="K9" s="45">
        <v>11</v>
      </c>
      <c r="L9" s="92">
        <v>12</v>
      </c>
      <c r="M9" s="45">
        <v>13</v>
      </c>
      <c r="N9" s="92">
        <v>14</v>
      </c>
      <c r="O9" s="45">
        <v>15</v>
      </c>
      <c r="P9" s="92">
        <v>16</v>
      </c>
      <c r="Q9" s="45">
        <v>17</v>
      </c>
      <c r="R9" s="92">
        <v>18</v>
      </c>
      <c r="S9" s="45">
        <v>19</v>
      </c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</row>
    <row r="10" spans="1:32" ht="40.5" customHeight="1">
      <c r="A10" s="93" t="s">
        <v>56</v>
      </c>
      <c r="B10" s="94" t="s">
        <v>57</v>
      </c>
      <c r="C10" s="95">
        <f>F10</f>
        <v>461.97274500000003</v>
      </c>
      <c r="D10" s="96">
        <f>'[4]РЕГИОН'!$E$33</f>
        <v>208.1868239952458</v>
      </c>
      <c r="E10" s="96">
        <f>E12+E13+E14</f>
        <v>53.702299999999994</v>
      </c>
      <c r="F10" s="95">
        <f>519070.5/1000*0.89</f>
        <v>461.97274500000003</v>
      </c>
      <c r="G10" s="95">
        <v>173.629332723773</v>
      </c>
      <c r="H10" s="96">
        <f>H12+H13+H14</f>
        <v>38.5608</v>
      </c>
      <c r="I10" s="95">
        <f>F10</f>
        <v>461.97274500000003</v>
      </c>
      <c r="J10" s="95">
        <v>331.79646194769333</v>
      </c>
      <c r="K10" s="96">
        <f>K12+K13+K14</f>
        <v>83.87180000000001</v>
      </c>
      <c r="L10" s="97">
        <v>1980294.66</v>
      </c>
      <c r="M10" s="97">
        <f>(M12*E12+M13*E13+M14*E14)/E10</f>
        <v>2660.878234701682</v>
      </c>
      <c r="N10" s="97">
        <f>(N12*H12+N13*H13+N14*H14)/H10</f>
        <v>1949.827704806189</v>
      </c>
      <c r="O10" s="97">
        <f>(O12*K12+O13*K13+O14*K14)/K10</f>
        <v>2153.19028351235</v>
      </c>
      <c r="P10" s="97">
        <f>P12+P13+P14</f>
        <v>398674.1422036018</v>
      </c>
      <c r="Q10" s="98">
        <f>Q12+Q13+Q14</f>
        <v>142895.2812234201</v>
      </c>
      <c r="R10" s="98">
        <f>R12+R13+R14</f>
        <v>75186.9161594905</v>
      </c>
      <c r="S10" s="98">
        <f>S12+S13+S14</f>
        <v>180591.94482069113</v>
      </c>
      <c r="T10" s="99"/>
      <c r="U10" s="99"/>
      <c r="V10" s="100"/>
      <c r="W10" s="101"/>
      <c r="X10" s="102"/>
      <c r="Y10" s="102"/>
      <c r="Z10" s="102"/>
      <c r="AA10" s="102"/>
      <c r="AB10" s="102"/>
      <c r="AC10" s="102"/>
      <c r="AD10" s="101"/>
      <c r="AE10" s="103"/>
      <c r="AF10" s="100"/>
    </row>
    <row r="11" spans="1:32" ht="15" customHeight="1">
      <c r="A11" s="93"/>
      <c r="B11" s="104" t="s">
        <v>30</v>
      </c>
      <c r="C11" s="104"/>
      <c r="D11" s="96"/>
      <c r="E11" s="96"/>
      <c r="F11" s="105"/>
      <c r="G11" s="95"/>
      <c r="H11" s="96"/>
      <c r="I11" s="95"/>
      <c r="J11" s="96"/>
      <c r="K11" s="96"/>
      <c r="L11" s="106"/>
      <c r="M11" s="106"/>
      <c r="N11" s="107"/>
      <c r="O11" s="107"/>
      <c r="P11" s="108"/>
      <c r="Q11" s="108"/>
      <c r="R11" s="107"/>
      <c r="S11" s="107"/>
      <c r="T11" s="99"/>
      <c r="U11" s="99"/>
      <c r="V11" s="100"/>
      <c r="W11" s="101"/>
      <c r="X11" s="102"/>
      <c r="Y11" s="102"/>
      <c r="Z11" s="102"/>
      <c r="AA11" s="102"/>
      <c r="AB11" s="102"/>
      <c r="AC11" s="102"/>
      <c r="AD11" s="101"/>
      <c r="AE11" s="103"/>
      <c r="AF11" s="100"/>
    </row>
    <row r="12" spans="1:32" ht="15" customHeight="1">
      <c r="A12" s="93"/>
      <c r="B12" s="104" t="s">
        <v>37</v>
      </c>
      <c r="C12" s="104"/>
      <c r="D12" s="96"/>
      <c r="E12" s="96">
        <f>'[3]Лист1'!$E$20+'[3]Лист1'!$F$20+'[3]Лист1'!$G$20</f>
        <v>47.538533699463926</v>
      </c>
      <c r="F12" s="105"/>
      <c r="G12" s="95"/>
      <c r="H12" s="95">
        <v>29.572072300536064</v>
      </c>
      <c r="I12" s="95"/>
      <c r="J12" s="96"/>
      <c r="K12" s="95">
        <v>69.49709316284681</v>
      </c>
      <c r="L12" s="105"/>
      <c r="M12" s="107">
        <f>'[2]Расчет тарифа на потери ИТОГ'!C7</f>
        <v>2252.80823399565</v>
      </c>
      <c r="N12" s="107">
        <f>'[2]Расчет тарифа на потери ИТОГ'!D7</f>
        <v>1319.4391837386752</v>
      </c>
      <c r="O12" s="107">
        <f>'[2]Расчет тарифа на потери ИТОГ'!E7</f>
        <v>1565.401254195783</v>
      </c>
      <c r="P12" s="108">
        <f>R12+S12+Q12</f>
        <v>254904.58788799396</v>
      </c>
      <c r="Q12" s="107">
        <f>M12*E12</f>
        <v>107095.20015023202</v>
      </c>
      <c r="R12" s="107">
        <f>N12*H12</f>
        <v>39018.55093768039</v>
      </c>
      <c r="S12" s="107">
        <f>O12*K12</f>
        <v>108790.83680008157</v>
      </c>
      <c r="T12" s="99"/>
      <c r="U12" s="99"/>
      <c r="V12" s="100"/>
      <c r="W12" s="101"/>
      <c r="X12" s="102"/>
      <c r="Y12" s="102"/>
      <c r="Z12" s="102"/>
      <c r="AA12" s="102"/>
      <c r="AB12" s="102"/>
      <c r="AC12" s="102"/>
      <c r="AD12" s="101"/>
      <c r="AE12" s="103"/>
      <c r="AF12" s="100"/>
    </row>
    <row r="13" spans="1:32" ht="17.25" customHeight="1">
      <c r="A13" s="93"/>
      <c r="B13" s="104" t="s">
        <v>58</v>
      </c>
      <c r="C13" s="104"/>
      <c r="D13" s="96"/>
      <c r="E13" s="96">
        <f>'[3]Лист1'!$E$21+'[3]Лист1'!$F$21+'[3]Лист1'!$G$21</f>
        <v>0.38376630053606864</v>
      </c>
      <c r="F13" s="105"/>
      <c r="G13" s="95"/>
      <c r="H13" s="95">
        <v>0.2387276994639372</v>
      </c>
      <c r="I13" s="95"/>
      <c r="J13" s="96"/>
      <c r="K13" s="95">
        <v>1.084706837153197</v>
      </c>
      <c r="L13" s="106"/>
      <c r="M13" s="107">
        <f>'[2]Расчет тарифа на потери ИТОГ'!C25</f>
        <v>1759.22823399565</v>
      </c>
      <c r="N13" s="107">
        <f>'[2]Расчет тарифа на потери ИТОГ'!D25</f>
        <v>948.6808698347841</v>
      </c>
      <c r="O13" s="107">
        <f>'[2]Расчет тарифа на потери ИТОГ'!E25</f>
        <v>991.373923274813</v>
      </c>
      <c r="P13" s="108">
        <f>R13+S13+Q13</f>
        <v>1976.9589854917954</v>
      </c>
      <c r="Q13" s="107">
        <f>M13*E13</f>
        <v>675.1325111591119</v>
      </c>
      <c r="R13" s="107">
        <f>N13*H13</f>
        <v>226.47640158110485</v>
      </c>
      <c r="S13" s="107">
        <f>O13*K13</f>
        <v>1075.3500727515786</v>
      </c>
      <c r="T13" s="100"/>
      <c r="U13" s="100"/>
      <c r="V13" s="100"/>
      <c r="W13" s="101"/>
      <c r="X13" s="102"/>
      <c r="Y13" s="102"/>
      <c r="Z13" s="102"/>
      <c r="AA13" s="102"/>
      <c r="AB13" s="102"/>
      <c r="AC13" s="102"/>
      <c r="AD13" s="101"/>
      <c r="AE13" s="103"/>
      <c r="AF13" s="100"/>
    </row>
    <row r="14" spans="1:32" ht="17.25" customHeight="1">
      <c r="A14" s="93"/>
      <c r="B14" s="104" t="s">
        <v>59</v>
      </c>
      <c r="C14" s="104"/>
      <c r="D14" s="96"/>
      <c r="E14" s="96">
        <f>'[3]Лист1'!$E$52+'[3]Лист1'!$F$52+'[3]Лист1'!$G$52</f>
        <v>5.779999999999999</v>
      </c>
      <c r="F14" s="105"/>
      <c r="G14" s="95"/>
      <c r="H14" s="95">
        <v>8.75</v>
      </c>
      <c r="I14" s="95"/>
      <c r="J14" s="96"/>
      <c r="K14" s="95">
        <v>13.29</v>
      </c>
      <c r="L14" s="106"/>
      <c r="M14" s="107">
        <f>'[2]Расчет тарифа на потери ИТОГ'!C31</f>
        <v>6076.980720074221</v>
      </c>
      <c r="N14" s="107">
        <f>'[2]Расчет тарифа на потери ИТОГ'!D31</f>
        <v>4107.6444365976</v>
      </c>
      <c r="O14" s="107">
        <f>'[2]Расчет тарифа на потери ИТОГ'!E31</f>
        <v>5321.727460335441</v>
      </c>
      <c r="P14" s="108">
        <f>R14+S14+Q14</f>
        <v>141792.595330116</v>
      </c>
      <c r="Q14" s="107">
        <f>M14*E14</f>
        <v>35124.94856202899</v>
      </c>
      <c r="R14" s="107">
        <f>N14*H14</f>
        <v>35941.888820229</v>
      </c>
      <c r="S14" s="107">
        <f>O14*K14</f>
        <v>70725.757947858</v>
      </c>
      <c r="T14" s="100"/>
      <c r="U14" s="100"/>
      <c r="V14" s="100"/>
      <c r="W14" s="101"/>
      <c r="X14" s="102"/>
      <c r="Y14" s="102"/>
      <c r="Z14" s="102"/>
      <c r="AA14" s="102"/>
      <c r="AB14" s="102"/>
      <c r="AC14" s="102"/>
      <c r="AD14" s="101"/>
      <c r="AE14" s="103"/>
      <c r="AF14" s="100"/>
    </row>
    <row r="15" spans="1:32" ht="50.25" customHeight="1">
      <c r="A15" s="93" t="s">
        <v>60</v>
      </c>
      <c r="B15" s="109" t="s">
        <v>61</v>
      </c>
      <c r="C15" s="95">
        <f>F15</f>
        <v>531.0986</v>
      </c>
      <c r="D15" s="96">
        <f>'[4]РЕГИОН'!$E$32</f>
        <v>188.66169506059398</v>
      </c>
      <c r="E15" s="96">
        <f>E17+E18</f>
        <v>32.3067</v>
      </c>
      <c r="F15" s="95">
        <f>596740/1000*0.89</f>
        <v>531.0986</v>
      </c>
      <c r="G15" s="95">
        <v>157.34523249490042</v>
      </c>
      <c r="H15" s="96">
        <f>H17+H18</f>
        <v>24.844</v>
      </c>
      <c r="I15" s="95">
        <f>F15</f>
        <v>531.0986</v>
      </c>
      <c r="J15" s="95">
        <v>324.60815202999476</v>
      </c>
      <c r="K15" s="96">
        <f>K17+K18</f>
        <v>54.049800000000005</v>
      </c>
      <c r="L15" s="97">
        <v>228988.8</v>
      </c>
      <c r="M15" s="97">
        <f>(M17*E17+M18*E18)/E15</f>
        <v>1761.0078682408887</v>
      </c>
      <c r="N15" s="97">
        <f>(N17*H17+N18*H18)/H15</f>
        <v>950.0176626386462</v>
      </c>
      <c r="O15" s="97">
        <f>(O17*K17+O18*K18)/K15</f>
        <v>994.9532083730836</v>
      </c>
      <c r="P15" s="97">
        <f>P17+P18</f>
        <v>134271.61362941595</v>
      </c>
      <c r="Q15" s="98">
        <f>Q17+Q18</f>
        <v>56892.352896897915</v>
      </c>
      <c r="R15" s="98">
        <f>R17+R18</f>
        <v>23602.23881059453</v>
      </c>
      <c r="S15" s="98">
        <f>S17+S18</f>
        <v>53777.0219219235</v>
      </c>
      <c r="T15" s="99"/>
      <c r="U15" s="99"/>
      <c r="V15" s="100"/>
      <c r="W15" s="101"/>
      <c r="X15" s="102"/>
      <c r="Y15" s="102"/>
      <c r="Z15" s="102"/>
      <c r="AA15" s="102"/>
      <c r="AB15" s="102"/>
      <c r="AC15" s="102"/>
      <c r="AD15" s="101"/>
      <c r="AE15" s="103"/>
      <c r="AF15" s="100"/>
    </row>
    <row r="16" spans="1:32" ht="13.5" customHeight="1">
      <c r="A16" s="93"/>
      <c r="B16" s="104" t="s">
        <v>30</v>
      </c>
      <c r="C16" s="104"/>
      <c r="D16" s="96"/>
      <c r="E16" s="96"/>
      <c r="F16" s="95"/>
      <c r="G16" s="95"/>
      <c r="H16" s="96"/>
      <c r="I16" s="95"/>
      <c r="J16" s="96"/>
      <c r="K16" s="96"/>
      <c r="L16" s="106"/>
      <c r="M16" s="106"/>
      <c r="N16" s="107"/>
      <c r="O16" s="107"/>
      <c r="P16" s="108"/>
      <c r="Q16" s="108"/>
      <c r="R16" s="107"/>
      <c r="S16" s="107"/>
      <c r="T16" s="99"/>
      <c r="U16" s="99"/>
      <c r="V16" s="100"/>
      <c r="W16" s="101"/>
      <c r="X16" s="102"/>
      <c r="Y16" s="102"/>
      <c r="Z16" s="102"/>
      <c r="AA16" s="102"/>
      <c r="AB16" s="102"/>
      <c r="AC16" s="102"/>
      <c r="AD16" s="101"/>
      <c r="AE16" s="103"/>
      <c r="AF16" s="100"/>
    </row>
    <row r="17" spans="1:32" ht="15" customHeight="1">
      <c r="A17" s="93"/>
      <c r="B17" s="104" t="s">
        <v>37</v>
      </c>
      <c r="C17" s="104"/>
      <c r="D17" s="96"/>
      <c r="E17" s="96">
        <f>'[3]Лист1'!$E$14+'[3]Лист1'!$F$14+'[3]Лист1'!$G$14</f>
        <v>0.1164838722611355</v>
      </c>
      <c r="F17" s="95"/>
      <c r="G17" s="95"/>
      <c r="H17" s="95">
        <v>0.08957663031060586</v>
      </c>
      <c r="I17" s="95"/>
      <c r="J17" s="96"/>
      <c r="K17" s="95">
        <v>0.337021659568237</v>
      </c>
      <c r="L17" s="106"/>
      <c r="M17" s="107">
        <f aca="true" t="shared" si="0" ref="M17:O18">M12</f>
        <v>2252.80823399565</v>
      </c>
      <c r="N17" s="107">
        <f t="shared" si="0"/>
        <v>1319.4391837386752</v>
      </c>
      <c r="O17" s="107">
        <f t="shared" si="0"/>
        <v>1565.401254195783</v>
      </c>
      <c r="P17" s="108">
        <f>R17+S17+Q17</f>
        <v>908.1808711159329</v>
      </c>
      <c r="Q17" s="107">
        <f>M17*E17</f>
        <v>262.41582655758356</v>
      </c>
      <c r="R17" s="107">
        <f>N17*H17</f>
        <v>118.19091597908687</v>
      </c>
      <c r="S17" s="107">
        <f>O17*K17</f>
        <v>527.5741285792624</v>
      </c>
      <c r="T17" s="110"/>
      <c r="U17" s="99"/>
      <c r="V17" s="111"/>
      <c r="W17" s="101"/>
      <c r="X17" s="102"/>
      <c r="Y17" s="102"/>
      <c r="Z17" s="102"/>
      <c r="AA17" s="102"/>
      <c r="AB17" s="102"/>
      <c r="AC17" s="102"/>
      <c r="AD17" s="101"/>
      <c r="AE17" s="103"/>
      <c r="AF17" s="100"/>
    </row>
    <row r="18" spans="1:32" ht="13.5" customHeight="1">
      <c r="A18" s="93"/>
      <c r="B18" s="104" t="s">
        <v>58</v>
      </c>
      <c r="C18" s="104"/>
      <c r="D18" s="96"/>
      <c r="E18" s="96">
        <f>'[3]Лист1'!$E$15+'[3]Лист1'!$F$15+'[3]Лист1'!$G$15</f>
        <v>32.190216127738864</v>
      </c>
      <c r="F18" s="95"/>
      <c r="G18" s="95"/>
      <c r="H18" s="95">
        <v>24.754423369689395</v>
      </c>
      <c r="I18" s="95"/>
      <c r="J18" s="96"/>
      <c r="K18" s="95">
        <v>53.71277834043177</v>
      </c>
      <c r="L18" s="106"/>
      <c r="M18" s="107">
        <f t="shared" si="0"/>
        <v>1759.22823399565</v>
      </c>
      <c r="N18" s="107">
        <f t="shared" si="0"/>
        <v>948.6808698347841</v>
      </c>
      <c r="O18" s="107">
        <f t="shared" si="0"/>
        <v>991.373923274813</v>
      </c>
      <c r="P18" s="108">
        <f>R18+S18+Q18</f>
        <v>133363.4327583</v>
      </c>
      <c r="Q18" s="107">
        <f>M18*E18</f>
        <v>56629.93707034033</v>
      </c>
      <c r="R18" s="107">
        <f>N18*H18</f>
        <v>23484.04789461544</v>
      </c>
      <c r="S18" s="107">
        <f>O18*K18</f>
        <v>53249.44779334424</v>
      </c>
      <c r="T18" s="100"/>
      <c r="U18" s="100"/>
      <c r="V18" s="100"/>
      <c r="W18" s="101"/>
      <c r="X18" s="102"/>
      <c r="Y18" s="102"/>
      <c r="Z18" s="102"/>
      <c r="AA18" s="102"/>
      <c r="AB18" s="102"/>
      <c r="AC18" s="102"/>
      <c r="AD18" s="101"/>
      <c r="AE18" s="103"/>
      <c r="AF18" s="100"/>
    </row>
    <row r="19" spans="1:21" ht="62.25" customHeight="1">
      <c r="A19" s="93" t="s">
        <v>62</v>
      </c>
      <c r="B19" s="94" t="s">
        <v>63</v>
      </c>
      <c r="C19" s="95">
        <f>F19</f>
        <v>845.3481126</v>
      </c>
      <c r="D19" s="96">
        <f>'[4]РЕГИОН'!$E$34</f>
        <v>256.06623699674356</v>
      </c>
      <c r="E19" s="96">
        <f>E21+E22</f>
        <v>3.6508</v>
      </c>
      <c r="F19" s="95">
        <f>949829.34/1000*0.89</f>
        <v>845.3481126</v>
      </c>
      <c r="G19" s="95">
        <v>213.56111308872931</v>
      </c>
      <c r="H19" s="96">
        <f>H21+H22</f>
        <v>2.9142</v>
      </c>
      <c r="I19" s="95">
        <f>F19</f>
        <v>845.3481126</v>
      </c>
      <c r="J19" s="95">
        <v>504.0083420344596</v>
      </c>
      <c r="K19" s="96">
        <f>K21+K22</f>
        <v>5.9437999999999995</v>
      </c>
      <c r="L19" s="97">
        <v>346224.75</v>
      </c>
      <c r="M19" s="97">
        <f>(M21*E21+M22*E22)/E19</f>
        <v>1814.6942572609632</v>
      </c>
      <c r="N19" s="97">
        <f>(N21*H21+N22*H22)/H19</f>
        <v>850.8845093360967</v>
      </c>
      <c r="O19" s="97">
        <f>(O21*K21+O22*K22)/K19</f>
        <v>1188.3366562892281</v>
      </c>
      <c r="P19" s="97">
        <f>P21+P22</f>
        <v>16167.968849167491</v>
      </c>
      <c r="Q19" s="98">
        <f>Q21+Q22</f>
        <v>6625.085794408325</v>
      </c>
      <c r="R19" s="98">
        <f>R21+R22</f>
        <v>2479.647637107253</v>
      </c>
      <c r="S19" s="98">
        <f>S21+S22</f>
        <v>7063.235417651914</v>
      </c>
      <c r="T19" s="99"/>
      <c r="U19" s="99"/>
    </row>
    <row r="20" spans="1:21" ht="13.5">
      <c r="A20" s="93"/>
      <c r="B20" s="104" t="s">
        <v>30</v>
      </c>
      <c r="C20" s="104"/>
      <c r="D20" s="96"/>
      <c r="E20" s="96"/>
      <c r="F20" s="105"/>
      <c r="G20" s="95"/>
      <c r="H20" s="95"/>
      <c r="I20" s="95"/>
      <c r="J20" s="96"/>
      <c r="K20" s="96"/>
      <c r="L20" s="106"/>
      <c r="M20" s="106"/>
      <c r="N20" s="106"/>
      <c r="O20" s="106"/>
      <c r="P20" s="112"/>
      <c r="Q20" s="112"/>
      <c r="R20" s="112"/>
      <c r="S20" s="112"/>
      <c r="T20" s="99"/>
      <c r="U20" s="99"/>
    </row>
    <row r="21" spans="1:21" ht="13.5">
      <c r="A21" s="93"/>
      <c r="B21" s="104" t="s">
        <v>37</v>
      </c>
      <c r="C21" s="104"/>
      <c r="D21" s="96"/>
      <c r="E21" s="96">
        <f>'[3]Лист1'!$E$28+'[3]Лист1'!$F$28+'[3]Лист1'!$G$28</f>
        <v>0.41025843376353466</v>
      </c>
      <c r="F21" s="105"/>
      <c r="G21" s="95"/>
      <c r="H21" s="95">
        <v>0.32748305239226816</v>
      </c>
      <c r="I21" s="95"/>
      <c r="J21" s="96"/>
      <c r="K21" s="95">
        <v>0.6906102121516596</v>
      </c>
      <c r="L21" s="106"/>
      <c r="M21" s="107">
        <f>M17</f>
        <v>2252.80823399565</v>
      </c>
      <c r="N21" s="107">
        <f>N17</f>
        <v>1319.4391837386752</v>
      </c>
      <c r="O21" s="107">
        <f>O17</f>
        <v>1565.401254195783</v>
      </c>
      <c r="P21" s="108">
        <f>R21+S21+Q21</f>
        <v>2437.4096412479776</v>
      </c>
      <c r="Q21" s="107">
        <f>M21*E21</f>
        <v>924.2335776486499</v>
      </c>
      <c r="R21" s="107">
        <f>N21*H21</f>
        <v>432.0939713367041</v>
      </c>
      <c r="S21" s="107">
        <f>O21*K21</f>
        <v>1081.0820922626237</v>
      </c>
      <c r="T21" s="99"/>
      <c r="U21" s="99"/>
    </row>
    <row r="22" spans="1:21" ht="14.25" customHeight="1">
      <c r="A22" s="93"/>
      <c r="B22" s="104" t="s">
        <v>64</v>
      </c>
      <c r="C22" s="104"/>
      <c r="D22" s="96"/>
      <c r="E22" s="96">
        <f>'[3]Лист1'!$E$29+'[3]Лист1'!$F$29+'[3]Лист1'!$G$29</f>
        <v>3.240541566236465</v>
      </c>
      <c r="F22" s="105"/>
      <c r="G22" s="95"/>
      <c r="H22" s="95">
        <v>2.586716947607732</v>
      </c>
      <c r="I22" s="95"/>
      <c r="J22" s="96"/>
      <c r="K22" s="95">
        <v>5.25318978784834</v>
      </c>
      <c r="L22" s="106"/>
      <c r="M22" s="107">
        <f>'[2]Расчет тарифа на потери ИТОГ'!C19</f>
        <v>1759.22823399565</v>
      </c>
      <c r="N22" s="107">
        <f>'[2]Расчет тарифа на потери ИТОГ'!D19</f>
        <v>791.5646385910851</v>
      </c>
      <c r="O22" s="107">
        <f>'[2]Расчет тарифа на потери ИТОГ'!E19</f>
        <v>1138.765886438595</v>
      </c>
      <c r="P22" s="108">
        <f>R22+S22+Q22</f>
        <v>13730.559207919514</v>
      </c>
      <c r="Q22" s="107">
        <f>M22*E22</f>
        <v>5700.852216759675</v>
      </c>
      <c r="R22" s="107">
        <f>N22*H22</f>
        <v>2047.553665770549</v>
      </c>
      <c r="S22" s="107">
        <f>O22*K22</f>
        <v>5982.15332538929</v>
      </c>
      <c r="T22" s="99"/>
      <c r="U22" s="99"/>
    </row>
    <row r="23" spans="1:21" ht="42.75" customHeight="1">
      <c r="A23" s="93" t="s">
        <v>65</v>
      </c>
      <c r="B23" s="109" t="s">
        <v>66</v>
      </c>
      <c r="C23" s="95">
        <f>F23</f>
        <v>356</v>
      </c>
      <c r="D23" s="96">
        <f>'[4]РЕГИОН'!$E$31</f>
        <v>5.989650805706651</v>
      </c>
      <c r="E23" s="96">
        <f>E25</f>
        <v>1.5122</v>
      </c>
      <c r="F23" s="95">
        <f>400000/1000*0.89</f>
        <v>356</v>
      </c>
      <c r="G23" s="95">
        <v>4.995412546698939</v>
      </c>
      <c r="H23" s="96">
        <f>H25</f>
        <v>1.0997999999999999</v>
      </c>
      <c r="I23" s="95">
        <f>F23</f>
        <v>356</v>
      </c>
      <c r="J23" s="95">
        <v>10.608878272378153</v>
      </c>
      <c r="K23" s="96">
        <f>K25</f>
        <v>2.5336999999999996</v>
      </c>
      <c r="L23" s="97">
        <v>57619.4</v>
      </c>
      <c r="M23" s="97">
        <f>M25</f>
        <v>1749.22823399565</v>
      </c>
      <c r="N23" s="97">
        <f>N25</f>
        <v>783.7636325489831</v>
      </c>
      <c r="O23" s="97">
        <f>O25</f>
        <v>906.3405750213379</v>
      </c>
      <c r="P23" s="97">
        <f>R23+S23+Q23</f>
        <v>5803.561293457156</v>
      </c>
      <c r="Q23" s="98">
        <f>Q25</f>
        <v>2645.182935448222</v>
      </c>
      <c r="R23" s="98">
        <f>R25</f>
        <v>861.9832430773715</v>
      </c>
      <c r="S23" s="98">
        <f>S25</f>
        <v>2296.3951149315635</v>
      </c>
      <c r="T23" s="99"/>
      <c r="U23" s="99"/>
    </row>
    <row r="24" spans="1:21" ht="14.25" customHeight="1">
      <c r="A24" s="93"/>
      <c r="B24" s="113" t="s">
        <v>30</v>
      </c>
      <c r="C24" s="113"/>
      <c r="D24" s="96"/>
      <c r="E24" s="96"/>
      <c r="F24" s="95"/>
      <c r="G24" s="95"/>
      <c r="H24" s="96"/>
      <c r="I24" s="95"/>
      <c r="J24" s="96"/>
      <c r="K24" s="96"/>
      <c r="L24" s="106"/>
      <c r="M24" s="106"/>
      <c r="N24" s="107"/>
      <c r="O24" s="107"/>
      <c r="P24" s="108"/>
      <c r="Q24" s="108"/>
      <c r="R24" s="108"/>
      <c r="S24" s="107"/>
      <c r="T24" s="99"/>
      <c r="U24" s="99"/>
    </row>
    <row r="25" spans="1:21" ht="14.25" customHeight="1">
      <c r="A25" s="93"/>
      <c r="B25" s="113" t="s">
        <v>67</v>
      </c>
      <c r="C25" s="113"/>
      <c r="D25" s="96"/>
      <c r="E25" s="96">
        <f>'[3]Лист1'!$E$56+'[3]Лист1'!$F$56+'[3]Лист1'!$G$56</f>
        <v>1.5122</v>
      </c>
      <c r="F25" s="95"/>
      <c r="G25" s="95"/>
      <c r="H25" s="95">
        <v>1.0997999999999999</v>
      </c>
      <c r="I25" s="95"/>
      <c r="J25" s="96"/>
      <c r="K25" s="95">
        <v>2.5336999999999996</v>
      </c>
      <c r="L25" s="106"/>
      <c r="M25" s="107">
        <f>'[2]Расчет тарифа на потери ИТОГ'!C37</f>
        <v>1749.22823399565</v>
      </c>
      <c r="N25" s="107">
        <f>'[2]Расчет тарифа на потери ИТОГ'!D37</f>
        <v>783.7636325489831</v>
      </c>
      <c r="O25" s="107">
        <f>'[2]Расчет тарифа на потери ИТОГ'!E37</f>
        <v>906.3405750213379</v>
      </c>
      <c r="P25" s="108">
        <f>R25+S25+Q25</f>
        <v>5803.561293457156</v>
      </c>
      <c r="Q25" s="107">
        <f>M25*E25</f>
        <v>2645.182935448222</v>
      </c>
      <c r="R25" s="108">
        <f>N25*H25</f>
        <v>861.9832430773715</v>
      </c>
      <c r="S25" s="107">
        <f>O25*K25</f>
        <v>2296.3951149315635</v>
      </c>
      <c r="T25" s="99"/>
      <c r="U25" s="99"/>
    </row>
    <row r="26" spans="1:19" s="114" customFormat="1" ht="38.25">
      <c r="A26" s="93" t="s">
        <v>68</v>
      </c>
      <c r="B26" s="109" t="s">
        <v>69</v>
      </c>
      <c r="C26" s="95">
        <f>F26</f>
        <v>18.643720000000002</v>
      </c>
      <c r="D26" s="96">
        <v>2.093842263109046</v>
      </c>
      <c r="E26" s="96">
        <f>E28</f>
        <v>0.6408</v>
      </c>
      <c r="F26" s="95">
        <f>20948/1000*0.89</f>
        <v>18.643720000000002</v>
      </c>
      <c r="G26" s="95">
        <v>1.746279750061226</v>
      </c>
      <c r="H26" s="96">
        <f>H28</f>
        <v>0.6408</v>
      </c>
      <c r="I26" s="95">
        <f>F26</f>
        <v>18.643720000000002</v>
      </c>
      <c r="J26" s="95">
        <v>3.840122013170272</v>
      </c>
      <c r="K26" s="95">
        <v>1.2815999999999999</v>
      </c>
      <c r="L26" s="97">
        <f>30772.03-'[2]прил 3'!E34</f>
        <v>26304.402546401903</v>
      </c>
      <c r="M26" s="97">
        <f>M28</f>
        <v>2252.80823399565</v>
      </c>
      <c r="N26" s="97">
        <f>N28</f>
        <v>1319.4391837386752</v>
      </c>
      <c r="O26" s="97">
        <f>O28</f>
        <v>1565.401254195783</v>
      </c>
      <c r="P26" s="97">
        <f>R26+S26+Q26</f>
        <v>4295.314392661471</v>
      </c>
      <c r="Q26" s="98">
        <f>Q28</f>
        <v>1443.5995163444127</v>
      </c>
      <c r="R26" s="98">
        <f>R28</f>
        <v>845.4966289397431</v>
      </c>
      <c r="S26" s="98">
        <f>S28</f>
        <v>2006.2182473773153</v>
      </c>
    </row>
    <row r="27" spans="1:19" s="114" customFormat="1" ht="13.5">
      <c r="A27" s="93"/>
      <c r="B27" s="104" t="s">
        <v>30</v>
      </c>
      <c r="C27" s="104"/>
      <c r="D27" s="96"/>
      <c r="E27" s="96"/>
      <c r="F27" s="95"/>
      <c r="G27" s="95"/>
      <c r="H27" s="95"/>
      <c r="I27" s="95"/>
      <c r="J27" s="95"/>
      <c r="K27" s="95"/>
      <c r="L27" s="97"/>
      <c r="M27" s="97"/>
      <c r="N27" s="97"/>
      <c r="O27" s="97"/>
      <c r="P27" s="97"/>
      <c r="Q27" s="97"/>
      <c r="R27" s="98"/>
      <c r="S27" s="98"/>
    </row>
    <row r="28" spans="1:19" s="114" customFormat="1" ht="13.5">
      <c r="A28" s="93"/>
      <c r="B28" s="104" t="s">
        <v>37</v>
      </c>
      <c r="C28" s="104"/>
      <c r="D28" s="96"/>
      <c r="E28" s="96">
        <f>'[3]Лист1'!$E$44+'[3]Лист1'!$F$44+'[3]Лист1'!$G$44</f>
        <v>0.6408</v>
      </c>
      <c r="F28" s="95"/>
      <c r="G28" s="95"/>
      <c r="H28" s="95">
        <v>0.6408</v>
      </c>
      <c r="I28" s="95"/>
      <c r="J28" s="95"/>
      <c r="K28" s="95">
        <f>K26</f>
        <v>1.2815999999999999</v>
      </c>
      <c r="L28" s="97"/>
      <c r="M28" s="107">
        <f>M12</f>
        <v>2252.80823399565</v>
      </c>
      <c r="N28" s="107">
        <f>N12</f>
        <v>1319.4391837386752</v>
      </c>
      <c r="O28" s="107">
        <f>O12</f>
        <v>1565.401254195783</v>
      </c>
      <c r="P28" s="98">
        <f>R28+S28+Q28</f>
        <v>4295.314392661471</v>
      </c>
      <c r="Q28" s="107">
        <f>M28*E28</f>
        <v>1443.5995163444127</v>
      </c>
      <c r="R28" s="98">
        <f>N28*H28</f>
        <v>845.4966289397431</v>
      </c>
      <c r="S28" s="98">
        <f>O28*K28</f>
        <v>2006.2182473773153</v>
      </c>
    </row>
    <row r="29" spans="1:21" ht="25.5">
      <c r="A29" s="93" t="s">
        <v>70</v>
      </c>
      <c r="B29" s="94" t="s">
        <v>71</v>
      </c>
      <c r="C29" s="95">
        <f>F29</f>
        <v>21.5825</v>
      </c>
      <c r="D29" s="96">
        <f>'[4]РЕГИОН'!$E$35</f>
        <v>6.69906702233021</v>
      </c>
      <c r="E29" s="96">
        <f>E31+E32</f>
        <v>0.4659</v>
      </c>
      <c r="F29" s="95">
        <f>24250/1000*0.89</f>
        <v>21.5825</v>
      </c>
      <c r="G29" s="95">
        <v>5.587070856057581</v>
      </c>
      <c r="H29" s="96">
        <f>H31+H32</f>
        <v>0.4659</v>
      </c>
      <c r="I29" s="95">
        <f>F29</f>
        <v>21.5825</v>
      </c>
      <c r="J29" s="95">
        <v>12.336765432705006</v>
      </c>
      <c r="K29" s="96">
        <f>K31+K32</f>
        <v>0.933</v>
      </c>
      <c r="L29" s="97">
        <v>10507.46</v>
      </c>
      <c r="M29" s="97">
        <f>(M31*E31+M32*E32)/E29</f>
        <v>1894.5257082020505</v>
      </c>
      <c r="N29" s="97">
        <f>(N31*H31+N32*H32)/H29</f>
        <v>1050.311129189337</v>
      </c>
      <c r="O29" s="97">
        <f>(O31*K31+O32*K32)/K29</f>
        <v>1129.320370182281</v>
      </c>
      <c r="P29" s="97">
        <f>R29+S29+Q29</f>
        <v>2425.655387920716</v>
      </c>
      <c r="Q29" s="98">
        <f>Q31+Q32</f>
        <v>882.6595274513353</v>
      </c>
      <c r="R29" s="98">
        <f>R31+R32</f>
        <v>489.33995508931207</v>
      </c>
      <c r="S29" s="98">
        <f>S31+S32</f>
        <v>1053.6559053800684</v>
      </c>
      <c r="T29" s="99"/>
      <c r="U29" s="99"/>
    </row>
    <row r="30" spans="1:21" ht="13.5">
      <c r="A30" s="93"/>
      <c r="B30" s="104" t="s">
        <v>30</v>
      </c>
      <c r="C30" s="104"/>
      <c r="D30" s="96"/>
      <c r="E30" s="96"/>
      <c r="F30" s="105"/>
      <c r="G30" s="95"/>
      <c r="H30" s="96"/>
      <c r="I30" s="95"/>
      <c r="J30" s="96"/>
      <c r="K30" s="96"/>
      <c r="L30" s="106"/>
      <c r="M30" s="106"/>
      <c r="N30" s="107"/>
      <c r="O30" s="107"/>
      <c r="P30" s="108"/>
      <c r="Q30" s="108"/>
      <c r="R30" s="108"/>
      <c r="S30" s="108"/>
      <c r="T30" s="99"/>
      <c r="U30" s="99"/>
    </row>
    <row r="31" spans="1:21" ht="13.5">
      <c r="A31" s="93"/>
      <c r="B31" s="104" t="s">
        <v>37</v>
      </c>
      <c r="C31" s="104"/>
      <c r="D31" s="96"/>
      <c r="E31" s="96">
        <f>'[3]Лист1'!$E$34+'[3]Лист1'!$F$34+'[3]Лист1'!$G$34</f>
        <v>0.12770998264265573</v>
      </c>
      <c r="F31" s="105"/>
      <c r="G31" s="95"/>
      <c r="H31" s="95">
        <v>0.12770998264265573</v>
      </c>
      <c r="I31" s="95"/>
      <c r="J31" s="96"/>
      <c r="K31" s="95">
        <v>0.224212381591962</v>
      </c>
      <c r="L31" s="106"/>
      <c r="M31" s="107">
        <f aca="true" t="shared" si="1" ref="M31:O32">M12</f>
        <v>2252.80823399565</v>
      </c>
      <c r="N31" s="107">
        <f t="shared" si="1"/>
        <v>1319.4391837386752</v>
      </c>
      <c r="O31" s="107">
        <f t="shared" si="1"/>
        <v>1565.401254195783</v>
      </c>
      <c r="P31" s="108">
        <f>R31+S31+Q31</f>
        <v>807.1939990644032</v>
      </c>
      <c r="Q31" s="107">
        <f>M31*E31</f>
        <v>287.7061004608164</v>
      </c>
      <c r="R31" s="108">
        <f>N31*H31</f>
        <v>168.50555525330606</v>
      </c>
      <c r="S31" s="108">
        <f>O31*K31</f>
        <v>350.98234335028076</v>
      </c>
      <c r="T31" s="110"/>
      <c r="U31" s="110"/>
    </row>
    <row r="32" spans="1:19" ht="13.5">
      <c r="A32" s="93"/>
      <c r="B32" s="104" t="s">
        <v>58</v>
      </c>
      <c r="C32" s="104"/>
      <c r="D32" s="96"/>
      <c r="E32" s="96">
        <f>'[3]Лист1'!$E$35+'[3]Лист1'!$F$35+'[3]Лист1'!$G$35</f>
        <v>0.3381900173573442</v>
      </c>
      <c r="F32" s="105"/>
      <c r="G32" s="95"/>
      <c r="H32" s="95">
        <v>0.3381900173573442</v>
      </c>
      <c r="I32" s="95"/>
      <c r="J32" s="95"/>
      <c r="K32" s="95">
        <v>0.7087876184080381</v>
      </c>
      <c r="L32" s="106"/>
      <c r="M32" s="107">
        <f t="shared" si="1"/>
        <v>1759.22823399565</v>
      </c>
      <c r="N32" s="107">
        <f t="shared" si="1"/>
        <v>948.6808698347841</v>
      </c>
      <c r="O32" s="107">
        <f t="shared" si="1"/>
        <v>991.373923274813</v>
      </c>
      <c r="P32" s="108">
        <f>R32+S32+Q32</f>
        <v>1618.4613888563126</v>
      </c>
      <c r="Q32" s="107">
        <f>M32*E32</f>
        <v>594.9534269905189</v>
      </c>
      <c r="R32" s="108">
        <f>N32*H32</f>
        <v>320.834399836006</v>
      </c>
      <c r="S32" s="108">
        <f>O32*K32</f>
        <v>702.6735620297877</v>
      </c>
    </row>
    <row r="33" spans="6:21" ht="12.75">
      <c r="F33" s="115"/>
      <c r="G33" s="116">
        <f>G10+G15+G19+G23+G26+G29</f>
        <v>556.8644414602206</v>
      </c>
      <c r="H33" s="116">
        <f>H10+H15+H19+H23+H26+H29</f>
        <v>68.52550000000001</v>
      </c>
      <c r="I33" s="115"/>
      <c r="J33" s="116">
        <f>J10+J15+J19+J23+J26+J29</f>
        <v>1187.1987217304013</v>
      </c>
      <c r="K33" s="116">
        <f>K10+K15+K19+K23+K26+K29</f>
        <v>148.61370000000002</v>
      </c>
      <c r="L33" s="117"/>
      <c r="M33" s="117"/>
      <c r="P33" s="118">
        <f>P10+P15+P19+P23+P26+P29</f>
        <v>561638.2557562245</v>
      </c>
      <c r="Q33" s="118"/>
      <c r="R33" s="118">
        <f>R10+R15+R19+R23+R26+R29</f>
        <v>103465.6224342987</v>
      </c>
      <c r="S33" s="118">
        <f>S10+S15+S19+S23+S26+S29</f>
        <v>246788.4714279555</v>
      </c>
      <c r="T33" s="118"/>
      <c r="U33" s="118"/>
    </row>
    <row r="34" spans="7:17" ht="12.75">
      <c r="G34" s="115"/>
      <c r="H34" s="115"/>
      <c r="I34" s="115"/>
      <c r="J34" s="115"/>
      <c r="K34" s="115"/>
      <c r="L34" s="118"/>
      <c r="M34" s="118"/>
      <c r="P34" s="118"/>
      <c r="Q34" s="118"/>
    </row>
    <row r="35" spans="6:17" ht="12.75">
      <c r="F35" s="143"/>
      <c r="G35" s="143"/>
      <c r="H35" s="143"/>
      <c r="I35" s="143"/>
      <c r="J35" s="115"/>
      <c r="K35" s="115"/>
      <c r="L35" s="118"/>
      <c r="M35" s="118"/>
      <c r="P35" s="118"/>
      <c r="Q35" s="118"/>
    </row>
    <row r="36" spans="6:17" ht="12.75" customHeight="1">
      <c r="F36" s="110"/>
      <c r="G36" s="119"/>
      <c r="H36" s="144"/>
      <c r="I36" s="144"/>
      <c r="J36" s="115"/>
      <c r="K36" s="115"/>
      <c r="L36" s="118"/>
      <c r="M36" s="118"/>
      <c r="N36" s="118"/>
      <c r="P36" s="118"/>
      <c r="Q36" s="118"/>
    </row>
    <row r="37" spans="6:17" ht="12.75">
      <c r="F37" s="110"/>
      <c r="G37" s="119"/>
      <c r="H37" s="144"/>
      <c r="I37" s="144"/>
      <c r="J37" s="115"/>
      <c r="K37" s="115"/>
      <c r="L37" s="118"/>
      <c r="M37" s="118"/>
      <c r="P37" s="118"/>
      <c r="Q37" s="118"/>
    </row>
    <row r="38" spans="7:19" ht="12.75">
      <c r="G38" s="115"/>
      <c r="H38" s="115"/>
      <c r="I38" s="115"/>
      <c r="K38" s="115"/>
      <c r="P38" s="118"/>
      <c r="Q38" s="118"/>
      <c r="S38" s="117"/>
    </row>
    <row r="39" spans="7:19" ht="12.75">
      <c r="G39" s="115"/>
      <c r="H39" s="115"/>
      <c r="I39" s="115"/>
      <c r="K39" s="120"/>
      <c r="L39" s="118"/>
      <c r="M39" s="118"/>
      <c r="S39" s="117"/>
    </row>
    <row r="40" spans="6:19" ht="12.75">
      <c r="F40" s="121"/>
      <c r="G40" s="121"/>
      <c r="H40" s="122"/>
      <c r="I40" s="121"/>
      <c r="J40" s="89"/>
      <c r="K40" s="122"/>
      <c r="L40" s="88"/>
      <c r="M40" s="88"/>
      <c r="S40" s="118"/>
    </row>
    <row r="41" spans="6:11" ht="12.75">
      <c r="F41" s="110"/>
      <c r="G41" s="119"/>
      <c r="H41" s="123"/>
      <c r="I41" s="69"/>
      <c r="J41" s="118"/>
      <c r="K41" s="123"/>
    </row>
    <row r="42" spans="7:11" ht="12.75">
      <c r="G42" s="115"/>
      <c r="H42" s="115"/>
      <c r="I42" s="115"/>
      <c r="J42" s="118"/>
      <c r="K42" s="115"/>
    </row>
    <row r="43" spans="7:13" ht="12.75">
      <c r="G43" s="115"/>
      <c r="H43" s="111"/>
      <c r="I43" s="111"/>
      <c r="J43" s="124"/>
      <c r="K43" s="111"/>
      <c r="L43" s="125"/>
      <c r="M43" s="125"/>
    </row>
    <row r="44" spans="7:13" ht="12.75">
      <c r="G44" s="115"/>
      <c r="H44" s="111"/>
      <c r="I44" s="111"/>
      <c r="J44" s="124"/>
      <c r="K44" s="111"/>
      <c r="L44" s="124"/>
      <c r="M44" s="124"/>
    </row>
    <row r="45" spans="7:13" ht="12.75">
      <c r="G45" s="115"/>
      <c r="H45" s="126"/>
      <c r="I45" s="126"/>
      <c r="J45" s="126"/>
      <c r="K45" s="126"/>
      <c r="L45" s="124"/>
      <c r="M45" s="124"/>
    </row>
    <row r="46" spans="7:13" ht="12.75">
      <c r="G46" s="115"/>
      <c r="H46" s="111"/>
      <c r="I46" s="111"/>
      <c r="J46" s="124"/>
      <c r="K46" s="124"/>
      <c r="L46" s="124"/>
      <c r="M46" s="124"/>
    </row>
    <row r="47" spans="7:13" ht="12.75">
      <c r="G47" s="115"/>
      <c r="H47" s="111"/>
      <c r="I47" s="111"/>
      <c r="J47" s="124"/>
      <c r="K47" s="124"/>
      <c r="L47" s="124"/>
      <c r="M47" s="124"/>
    </row>
    <row r="48" spans="7:13" ht="12.75">
      <c r="G48" s="115"/>
      <c r="H48" s="111"/>
      <c r="I48" s="111"/>
      <c r="J48" s="124"/>
      <c r="K48" s="124"/>
      <c r="L48" s="124"/>
      <c r="M48" s="124"/>
    </row>
    <row r="49" spans="7:13" ht="12.75">
      <c r="G49" s="115"/>
      <c r="H49" s="111"/>
      <c r="I49" s="111"/>
      <c r="J49" s="124"/>
      <c r="K49" s="124"/>
      <c r="L49" s="124"/>
      <c r="M49" s="124"/>
    </row>
    <row r="50" spans="7:13" ht="12.75">
      <c r="G50" s="115"/>
      <c r="H50" s="115"/>
      <c r="I50" s="115"/>
      <c r="J50" s="118"/>
      <c r="K50" s="118"/>
      <c r="L50" s="118"/>
      <c r="M50" s="118"/>
    </row>
  </sheetData>
  <sheetProtection/>
  <mergeCells count="32">
    <mergeCell ref="C7:C8"/>
    <mergeCell ref="D7:D8"/>
    <mergeCell ref="E7:E8"/>
    <mergeCell ref="L1:S1"/>
    <mergeCell ref="P5:S6"/>
    <mergeCell ref="A3:S3"/>
    <mergeCell ref="A5:A8"/>
    <mergeCell ref="B5:B8"/>
    <mergeCell ref="C5:E6"/>
    <mergeCell ref="M5:O6"/>
    <mergeCell ref="U7:U8"/>
    <mergeCell ref="N7:N8"/>
    <mergeCell ref="O7:O8"/>
    <mergeCell ref="S7:S8"/>
    <mergeCell ref="F35:I35"/>
    <mergeCell ref="H36:I36"/>
    <mergeCell ref="H37:I37"/>
    <mergeCell ref="T7:T8"/>
    <mergeCell ref="G7:G8"/>
    <mergeCell ref="H7:H8"/>
    <mergeCell ref="L5:L8"/>
    <mergeCell ref="R7:R8"/>
    <mergeCell ref="T6:U6"/>
    <mergeCell ref="P7:P8"/>
    <mergeCell ref="M7:M8"/>
    <mergeCell ref="Q7:Q8"/>
    <mergeCell ref="F5:H6"/>
    <mergeCell ref="F7:F8"/>
    <mergeCell ref="I5:K6"/>
    <mergeCell ref="J7:J8"/>
    <mergeCell ref="K7:K8"/>
    <mergeCell ref="I7:I8"/>
  </mergeCells>
  <printOptions/>
  <pageMargins left="0.51" right="0.16" top="0.64" bottom="0.18" header="0.5" footer="0.18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17"/>
  <sheetViews>
    <sheetView workbookViewId="0" topLeftCell="B1">
      <selection activeCell="J11" sqref="J11"/>
    </sheetView>
  </sheetViews>
  <sheetFormatPr defaultColWidth="9.00390625" defaultRowHeight="12.75"/>
  <cols>
    <col min="1" max="1" width="4.125" style="0" hidden="1" customWidth="1"/>
    <col min="2" max="2" width="31.875" style="0" customWidth="1"/>
    <col min="3" max="3" width="12.875" style="0" customWidth="1"/>
    <col min="4" max="4" width="15.00390625" style="0" customWidth="1"/>
    <col min="5" max="5" width="13.375" style="0" customWidth="1"/>
    <col min="6" max="6" width="12.625" style="0" customWidth="1"/>
    <col min="7" max="7" width="14.875" style="0" customWidth="1"/>
    <col min="8" max="8" width="13.75390625" style="0" customWidth="1"/>
    <col min="9" max="9" width="12.75390625" style="0" customWidth="1"/>
    <col min="10" max="10" width="15.125" style="0" customWidth="1"/>
    <col min="11" max="11" width="13.625" style="0" customWidth="1"/>
  </cols>
  <sheetData>
    <row r="1" spans="2:12" ht="27.75" customHeight="1">
      <c r="B1" s="182" t="s">
        <v>95</v>
      </c>
      <c r="C1" s="182"/>
      <c r="D1" s="182"/>
      <c r="E1" s="182"/>
      <c r="F1" s="183"/>
      <c r="G1" s="183"/>
      <c r="H1" s="183"/>
      <c r="I1" s="183"/>
      <c r="J1" s="183"/>
      <c r="K1" s="183"/>
      <c r="L1" s="127"/>
    </row>
    <row r="2" spans="2:12" ht="7.5" customHeight="1"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2"/>
    </row>
    <row r="3" ht="3" customHeight="1"/>
    <row r="4" spans="2:11" ht="31.5" customHeight="1">
      <c r="B4" s="187" t="s">
        <v>73</v>
      </c>
      <c r="C4" s="187"/>
      <c r="D4" s="187"/>
      <c r="E4" s="187"/>
      <c r="F4" s="188"/>
      <c r="G4" s="188"/>
      <c r="H4" s="188"/>
      <c r="I4" s="183"/>
      <c r="J4" s="183"/>
      <c r="K4" s="183"/>
    </row>
    <row r="5" spans="2:11" ht="10.5" customHeight="1">
      <c r="B5" s="188"/>
      <c r="C5" s="188"/>
      <c r="D5" s="188"/>
      <c r="E5" s="188"/>
      <c r="F5" s="188"/>
      <c r="G5" s="188"/>
      <c r="H5" s="188"/>
      <c r="I5" s="183"/>
      <c r="J5" s="183"/>
      <c r="K5" s="183"/>
    </row>
    <row r="6" ht="6.75" customHeight="1"/>
    <row r="7" spans="2:11" ht="12.75" customHeight="1">
      <c r="B7" s="189" t="s">
        <v>74</v>
      </c>
      <c r="C7" s="184" t="s">
        <v>75</v>
      </c>
      <c r="D7" s="185"/>
      <c r="E7" s="186"/>
      <c r="F7" s="184" t="s">
        <v>76</v>
      </c>
      <c r="G7" s="185"/>
      <c r="H7" s="186"/>
      <c r="I7" s="184" t="s">
        <v>77</v>
      </c>
      <c r="J7" s="185"/>
      <c r="K7" s="186"/>
    </row>
    <row r="8" spans="2:11" ht="12.75" customHeight="1">
      <c r="B8" s="190"/>
      <c r="C8" s="181" t="s">
        <v>78</v>
      </c>
      <c r="D8" s="181"/>
      <c r="E8" s="181" t="s">
        <v>79</v>
      </c>
      <c r="F8" s="181" t="s">
        <v>78</v>
      </c>
      <c r="G8" s="181"/>
      <c r="H8" s="181" t="s">
        <v>79</v>
      </c>
      <c r="I8" s="181" t="s">
        <v>78</v>
      </c>
      <c r="J8" s="181"/>
      <c r="K8" s="181" t="s">
        <v>79</v>
      </c>
    </row>
    <row r="9" spans="2:11" ht="51">
      <c r="B9" s="190"/>
      <c r="C9" s="128" t="s">
        <v>80</v>
      </c>
      <c r="D9" s="128" t="s">
        <v>81</v>
      </c>
      <c r="E9" s="181"/>
      <c r="F9" s="128" t="s">
        <v>80</v>
      </c>
      <c r="G9" s="128" t="s">
        <v>81</v>
      </c>
      <c r="H9" s="181"/>
      <c r="I9" s="128" t="s">
        <v>80</v>
      </c>
      <c r="J9" s="128" t="s">
        <v>81</v>
      </c>
      <c r="K9" s="181"/>
    </row>
    <row r="10" spans="2:11" ht="12.75">
      <c r="B10" s="191"/>
      <c r="C10" s="128" t="s">
        <v>88</v>
      </c>
      <c r="D10" s="128" t="s">
        <v>89</v>
      </c>
      <c r="E10" s="128" t="s">
        <v>90</v>
      </c>
      <c r="F10" s="128" t="s">
        <v>88</v>
      </c>
      <c r="G10" s="128" t="s">
        <v>89</v>
      </c>
      <c r="H10" s="128" t="s">
        <v>90</v>
      </c>
      <c r="I10" s="128" t="s">
        <v>88</v>
      </c>
      <c r="J10" s="128" t="s">
        <v>89</v>
      </c>
      <c r="K10" s="128" t="s">
        <v>90</v>
      </c>
    </row>
    <row r="11" spans="2:11" ht="12.75">
      <c r="B11" s="129">
        <v>1</v>
      </c>
      <c r="C11" s="129">
        <v>2</v>
      </c>
      <c r="D11" s="129">
        <v>3</v>
      </c>
      <c r="E11" s="129">
        <v>4</v>
      </c>
      <c r="F11" s="129">
        <v>5</v>
      </c>
      <c r="G11" s="129">
        <v>6</v>
      </c>
      <c r="H11" s="129">
        <v>7</v>
      </c>
      <c r="I11" s="129">
        <v>8</v>
      </c>
      <c r="J11" s="129">
        <v>9</v>
      </c>
      <c r="K11" s="129">
        <v>10</v>
      </c>
    </row>
    <row r="12" spans="2:11" ht="39" customHeight="1">
      <c r="B12" s="130" t="s">
        <v>82</v>
      </c>
      <c r="C12" s="131">
        <f>'[2]расчет инд. тарифов'!C53</f>
        <v>357217.079981634</v>
      </c>
      <c r="D12" s="131">
        <f>'[2]расчет инд. тарифов'!D53</f>
        <v>643.9679154507023</v>
      </c>
      <c r="E12" s="131">
        <f>'[2]расчет инд. тарифов'!E53</f>
        <v>3.24</v>
      </c>
      <c r="F12" s="131">
        <f>'[2]расчет инд. тарифов'!F53</f>
        <v>357217.079981634</v>
      </c>
      <c r="G12" s="131">
        <v>483.8846120779139</v>
      </c>
      <c r="H12" s="132">
        <f>'[2]расчет инд. тарифов'!H53</f>
        <v>3.0738136769055266</v>
      </c>
      <c r="I12" s="131">
        <f>'[2]расчет инд. тарифов'!I53</f>
        <v>357217.079981634</v>
      </c>
      <c r="J12" s="131">
        <f>'[2]расчет инд. тарифов'!J53</f>
        <v>544.2853240826929</v>
      </c>
      <c r="K12" s="132">
        <f>'[2]расчет инд. тарифов'!K53</f>
        <v>3.5284863134111855</v>
      </c>
    </row>
    <row r="13" spans="2:11" ht="51">
      <c r="B13" s="130" t="s">
        <v>83</v>
      </c>
      <c r="C13" s="131">
        <f>'[2]расчет инд. тарифов'!C54</f>
        <v>35930.05140665029</v>
      </c>
      <c r="D13" s="131">
        <f>'[2]расчет инд. тарифов'!D54</f>
        <v>290.8694143394946</v>
      </c>
      <c r="E13" s="131">
        <f>'[2]расчет инд. тарифов'!E54</f>
        <v>0.62</v>
      </c>
      <c r="F13" s="131">
        <f>'[2]расчет инд. тарифов'!F54</f>
        <v>35930.05140665029</v>
      </c>
      <c r="G13" s="131">
        <v>162.81824717982087</v>
      </c>
      <c r="H13" s="132">
        <f>'[2]расчет инд. тарифов'!H54</f>
        <v>0.4958443260900983</v>
      </c>
      <c r="I13" s="131">
        <f>'[2]расчет инд. тарифов'!I54</f>
        <v>35930.05140665029</v>
      </c>
      <c r="J13" s="131">
        <f>'[2]расчет инд. тарифов'!J54</f>
        <v>165.66750275869333</v>
      </c>
      <c r="K13" s="132">
        <f>'[2]расчет инд. тарифов'!K54</f>
        <v>0.5183832287316515</v>
      </c>
    </row>
    <row r="14" spans="2:11" ht="79.5" customHeight="1">
      <c r="B14" s="130" t="s">
        <v>84</v>
      </c>
      <c r="C14" s="131">
        <f>'[2]расчет инд. тарифов'!C55</f>
        <v>34130.39204791145</v>
      </c>
      <c r="D14" s="131">
        <f>'[2]расчет инд. тарифов'!D55</f>
        <v>25.367917342867617</v>
      </c>
      <c r="E14" s="131">
        <f>'[2]расчет инд. тарифов'!E55</f>
        <v>0.39</v>
      </c>
      <c r="F14" s="131">
        <f>'[2]расчет инд. тарифов'!F55</f>
        <v>34130.39204791145</v>
      </c>
      <c r="G14" s="131">
        <v>12.21601751063696</v>
      </c>
      <c r="H14" s="132">
        <f>'[2]расчет инд. тарифов'!H55</f>
        <v>0.38560988380206973</v>
      </c>
      <c r="I14" s="131">
        <f>'[2]расчет инд. тарифов'!I55</f>
        <v>34130.39204791145</v>
      </c>
      <c r="J14" s="131">
        <f>'[2]расчет инд. тарифов'!J55</f>
        <v>14.01412403044907</v>
      </c>
      <c r="K14" s="132">
        <f>'[2]расчет инд. тарифов'!K55</f>
        <v>0.3574853735364029</v>
      </c>
    </row>
    <row r="15" spans="2:11" ht="38.25" customHeight="1">
      <c r="B15" s="130" t="s">
        <v>85</v>
      </c>
      <c r="C15" s="131">
        <f>'[2]расчет инд. тарифов'!C56</f>
        <v>13487.687265917602</v>
      </c>
      <c r="D15" s="131">
        <f>'[2]расчет инд. тарифов'!D56</f>
        <v>415.9269728923402</v>
      </c>
      <c r="E15" s="131">
        <f>'[2]расчет инд. тарифов'!E56</f>
        <v>3.04</v>
      </c>
      <c r="F15" s="131">
        <f>'[2]расчет инд. тарифов'!F56</f>
        <v>13487.687265917602</v>
      </c>
      <c r="G15" s="131">
        <v>203.36835861478372</v>
      </c>
      <c r="H15" s="132">
        <f>'[2]расчет инд. тарифов'!H56</f>
        <v>2.8242567750486227</v>
      </c>
      <c r="I15" s="131">
        <f>'[2]расчет инд. тарифов'!I56</f>
        <v>13487.687265917602</v>
      </c>
      <c r="J15" s="131">
        <f>'[2]расчет инд. тарифов'!J56</f>
        <v>216.45974776716795</v>
      </c>
      <c r="K15" s="132">
        <f>'[2]расчет инд. тарифов'!K56</f>
        <v>2.9320814431362705</v>
      </c>
    </row>
    <row r="16" spans="2:11" ht="39.75" customHeight="1">
      <c r="B16" s="130" t="s">
        <v>86</v>
      </c>
      <c r="C16" s="131">
        <f>'[2]расчет инд. тарифов'!C57</f>
        <v>116396.93934646099</v>
      </c>
      <c r="D16" s="131">
        <f>'[2]расчет инд. тарифов'!D57</f>
        <v>751.850858589062</v>
      </c>
      <c r="E16" s="131">
        <f>'[2]расчет инд. тарифов'!E57</f>
        <v>4.14</v>
      </c>
      <c r="F16" s="131">
        <f>'[2]расчет инд. тарифов'!F57</f>
        <v>117967.55576143181</v>
      </c>
      <c r="G16" s="131">
        <v>409.3496714890567</v>
      </c>
      <c r="H16" s="132">
        <f>'[2]расчет инд. тарифов'!H57</f>
        <v>3.8532584770427287</v>
      </c>
      <c r="I16" s="131">
        <f>'[2]расчет инд. тарифов'!I57</f>
        <v>117967.55576143181</v>
      </c>
      <c r="J16" s="131">
        <f>'[2]расчет инд. тарифов'!J57</f>
        <v>522.4360685667513</v>
      </c>
      <c r="K16" s="132">
        <f>'[2]расчет инд. тарифов'!K57</f>
        <v>3.9588176280445624</v>
      </c>
    </row>
    <row r="17" spans="2:11" ht="30" customHeight="1">
      <c r="B17" s="130" t="s">
        <v>87</v>
      </c>
      <c r="C17" s="131">
        <f>'[2]расчет инд. тарифов'!C58</f>
        <v>40570.91007374802</v>
      </c>
      <c r="D17" s="131">
        <f>'[2]расчет инд. тарифов'!D58</f>
        <v>143.68380628447903</v>
      </c>
      <c r="E17" s="131">
        <f>'[2]расчет инд. тарифов'!E58</f>
        <v>0.57</v>
      </c>
      <c r="F17" s="131">
        <f>'[2]расчет инд. тарифов'!F58</f>
        <v>40570.91007374802</v>
      </c>
      <c r="G17" s="131">
        <v>73.28563477470097</v>
      </c>
      <c r="H17" s="132">
        <f>'[2]расчет инд. тарифов'!H58</f>
        <v>0.5024567169698152</v>
      </c>
      <c r="I17" s="131">
        <f>'[2]расчет инд. тарифов'!I58</f>
        <v>40570.91007374802</v>
      </c>
      <c r="J17" s="131">
        <f>'[2]расчет инд. тарифов'!J58</f>
        <v>85.4077927579628</v>
      </c>
      <c r="K17" s="132">
        <f>'[2]расчет инд. тарифов'!K58</f>
        <v>0.5112673933686916</v>
      </c>
    </row>
  </sheetData>
  <sheetProtection/>
  <mergeCells count="12">
    <mergeCell ref="F7:H7"/>
    <mergeCell ref="C7:E7"/>
    <mergeCell ref="C8:D8"/>
    <mergeCell ref="E8:E9"/>
    <mergeCell ref="B1:K2"/>
    <mergeCell ref="I7:K7"/>
    <mergeCell ref="I8:J8"/>
    <mergeCell ref="K8:K9"/>
    <mergeCell ref="B4:K5"/>
    <mergeCell ref="F8:G8"/>
    <mergeCell ref="H8:H9"/>
    <mergeCell ref="B7:B10"/>
  </mergeCells>
  <printOptions/>
  <pageMargins left="0.52" right="0.16" top="0.62" bottom="0.57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Госкомитет РК по ценам и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nefimova</dc:creator>
  <cp:keywords/>
  <dc:description/>
  <cp:lastModifiedBy>Базанова</cp:lastModifiedBy>
  <cp:lastPrinted>2018-02-28T07:20:45Z</cp:lastPrinted>
  <dcterms:created xsi:type="dcterms:W3CDTF">2018-02-28T07:05:38Z</dcterms:created>
  <dcterms:modified xsi:type="dcterms:W3CDTF">2018-03-06T13:52:17Z</dcterms:modified>
  <cp:category/>
  <cp:version/>
  <cp:contentType/>
  <cp:contentStatus/>
</cp:coreProperties>
</file>