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2780" activeTab="0"/>
  </bookViews>
  <sheets>
    <sheet name="Приложение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<sst xmlns="http://schemas.openxmlformats.org/spreadsheetml/2006/main" count="211" uniqueCount="105">
  <si>
    <t>№ п.п.</t>
  </si>
  <si>
    <t>Наименование</t>
  </si>
  <si>
    <t>Ед.изм.</t>
  </si>
  <si>
    <t>Утверждено</t>
  </si>
  <si>
    <t>Факт</t>
  </si>
  <si>
    <t>Долгосрочные параметры регулирования</t>
  </si>
  <si>
    <t>Базовый уровень подконтрольных расходов (ПР)</t>
  </si>
  <si>
    <t>тыс.руб.</t>
  </si>
  <si>
    <t>х</t>
  </si>
  <si>
    <t>Индекс эффективности подконтрольных расходов (Хэф)</t>
  </si>
  <si>
    <t>%</t>
  </si>
  <si>
    <t>Коэффициент эластичности подконтрольных расходов по количеству активов (К эл)</t>
  </si>
  <si>
    <t>знач.</t>
  </si>
  <si>
    <t>6.1.</t>
  </si>
  <si>
    <t>Индекс потребительских цен (ИПЦ)</t>
  </si>
  <si>
    <t>Количество активов (УЕ)</t>
  </si>
  <si>
    <t>Индекс изменения количества активов (ИКА)</t>
  </si>
  <si>
    <t>Подконтрольные расходы организации (ПР)</t>
  </si>
  <si>
    <t>Расходы на оплату труда</t>
  </si>
  <si>
    <t>Материалы</t>
  </si>
  <si>
    <t>Ремонт основных фондов</t>
  </si>
  <si>
    <t>4</t>
  </si>
  <si>
    <t>Работы и услуги производственного характера</t>
  </si>
  <si>
    <t>4.4.</t>
  </si>
  <si>
    <t>Расходы на обучение персонала</t>
  </si>
  <si>
    <t>Расходы на страхование</t>
  </si>
  <si>
    <t>Прочие обоснованные расходы из прибыли</t>
  </si>
  <si>
    <t>Итого ПР с учетом индексации:</t>
  </si>
  <si>
    <t>Неподконтрольные расходы организации (НР)</t>
  </si>
  <si>
    <t>Амортизация основных средств</t>
  </si>
  <si>
    <t>Отчисления на социальные нужды</t>
  </si>
  <si>
    <t>Налоги и сборы, в том числе:</t>
  </si>
  <si>
    <t>Налог на имущество</t>
  </si>
  <si>
    <t>Налог на прибыль</t>
  </si>
  <si>
    <t>Плата за аренду имущества</t>
  </si>
  <si>
    <t>Итого НР:</t>
  </si>
  <si>
    <t xml:space="preserve">Корректировка необходимой валовой выручки </t>
  </si>
  <si>
    <t>1</t>
  </si>
  <si>
    <t>Корректировка подконтрольных расходов</t>
  </si>
  <si>
    <t>Корректировка неподконтрольных расходов</t>
  </si>
  <si>
    <t>2</t>
  </si>
  <si>
    <t xml:space="preserve">Корректировка НВВ с учетом изменения полезного отпуска и цен на электрическую энергию </t>
  </si>
  <si>
    <t>3</t>
  </si>
  <si>
    <t xml:space="preserve">Корректировка НВВ в связи с изменением (неисполнением) инвестиционной программы </t>
  </si>
  <si>
    <t xml:space="preserve">Корректировка НВВ с учетом надежности и качества оказываемых услуг </t>
  </si>
  <si>
    <t>Итого корректировка НВВ</t>
  </si>
  <si>
    <t>Подконтрольные расходы</t>
  </si>
  <si>
    <t>Неподконтрольные расходы</t>
  </si>
  <si>
    <t>Результаты деятельности организации до перехода к долгосрочному регулированию и в период долгосрочного регулирования</t>
  </si>
  <si>
    <t>Необходимая валовая выручка (НВВ) организации на оказание услуги по передаче электрической энергии</t>
  </si>
  <si>
    <t xml:space="preserve">Общий коэффициент индексации подконтрольных расходов </t>
  </si>
  <si>
    <t>предложено ТСО</t>
  </si>
  <si>
    <t xml:space="preserve">2014 год </t>
  </si>
  <si>
    <t>2015 год</t>
  </si>
  <si>
    <t>2016 год</t>
  </si>
  <si>
    <t>Ожид.</t>
  </si>
  <si>
    <t>Уверждено</t>
  </si>
  <si>
    <t>3.1.</t>
  </si>
  <si>
    <t>4.</t>
  </si>
  <si>
    <t>у.е.</t>
  </si>
  <si>
    <t>1.</t>
  </si>
  <si>
    <t>2.</t>
  </si>
  <si>
    <t>5.</t>
  </si>
  <si>
    <t>6.</t>
  </si>
  <si>
    <t>3.</t>
  </si>
  <si>
    <t>1.1.</t>
  </si>
  <si>
    <t>1.2.</t>
  </si>
  <si>
    <t>1.3.</t>
  </si>
  <si>
    <t>1.4.</t>
  </si>
  <si>
    <t>1.5.</t>
  </si>
  <si>
    <t>Другие обоснованные подконтрольные расходы, в том числе</t>
  </si>
  <si>
    <t>4.2.</t>
  </si>
  <si>
    <t>Обеспечение нормальных условий труда и техники</t>
  </si>
  <si>
    <t>Прочие обоснованные подконтрольные расходы, в том числе</t>
  </si>
  <si>
    <t>Сертификация качества электроэнергии</t>
  </si>
  <si>
    <t>Обслуживание АСКУЭ</t>
  </si>
  <si>
    <t>Расходы из прибыли, в том числе</t>
  </si>
  <si>
    <t>5.1.</t>
  </si>
  <si>
    <t>4.1.</t>
  </si>
  <si>
    <t>4.3.</t>
  </si>
  <si>
    <t>4.5.</t>
  </si>
  <si>
    <t>4.5.1.</t>
  </si>
  <si>
    <t>4.5.2.</t>
  </si>
  <si>
    <t>Прочие налоги и сборы</t>
  </si>
  <si>
    <t>3.2.</t>
  </si>
  <si>
    <t>3.3.</t>
  </si>
  <si>
    <t>Расходы на формирование резерва по сомнительным долгам</t>
  </si>
  <si>
    <t>Корректировка НВВ по результатам деятельности организации за           2014 год</t>
  </si>
  <si>
    <t>Оплата услуг ПАО "ФСК ЕЭС"</t>
  </si>
  <si>
    <t>Метрология</t>
  </si>
  <si>
    <t xml:space="preserve">Техобслуживание установок </t>
  </si>
  <si>
    <t>Электрическая энергия на хозяйственные нужды</t>
  </si>
  <si>
    <t>4.1.1.</t>
  </si>
  <si>
    <t>4.1.2.</t>
  </si>
  <si>
    <t>4.1.3.</t>
  </si>
  <si>
    <t>7.</t>
  </si>
  <si>
    <t>Итого корректировка необходимой валовой выручки</t>
  </si>
  <si>
    <t>2018 год</t>
  </si>
  <si>
    <t>за 2016 год</t>
  </si>
  <si>
    <t>Корректировка НВВ по результатам деятельности организации за           2016 год</t>
  </si>
  <si>
    <t>на 2018 год</t>
  </si>
  <si>
    <t>Расходы, связанные с осуществлением технологического присоединения энергопринимающих устройств максимальной мощностью до 15 кВт включительно</t>
  </si>
  <si>
    <t>Приложение № 2 к протоколу  заседания Правления Госкомитета Республики Карелия по ценам и тарифам                               от 18.12.2017 № 146</t>
  </si>
  <si>
    <t xml:space="preserve">Необходимая валовая выручка на содержание электрических сетей Структурное подразделение Трансэнерго – филиал ОАО «РЖД» Октябрьской дирекции по энергообеспечению на 2018 год                                            </t>
  </si>
  <si>
    <t>8.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</si>
</sst>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"/>
    <numFmt numFmtId="166" formatCode="#,##0.000"/>
    <numFmt numFmtId="167" formatCode="0.0%"/>
    <numFmt numFmtId="168" formatCode="#,##0.00_ ;\-#,##0.00\ "/>
    <numFmt numFmtId="169" formatCode="#,##0.0"/>
    <numFmt numFmtId="170" formatCode="0.000"/>
    <numFmt numFmtId="171" formatCode="0.0000"/>
  </numFmts>
  <fonts count="27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/>
      <top>
        <color indexed="63"/>
      </top>
      <bottom/>
    </border>
    <border>
      <left/>
      <right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 shrinkToFit="1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center" vertical="center" wrapText="1" shrinkToFit="1"/>
      <protection/>
    </xf>
    <xf numFmtId="49" fontId="1" fillId="0" borderId="14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2" xfId="0" applyFont="1" applyFill="1" applyBorder="1" applyAlignment="1" applyProtection="1">
      <alignment horizontal="center" vertical="center" wrapText="1" shrinkToFit="1"/>
      <protection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6" xfId="0" applyFont="1" applyFill="1" applyBorder="1" applyAlignment="1" applyProtection="1">
      <alignment horizontal="left" vertical="center" wrapText="1" shrinkToFit="1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8" xfId="0" applyFont="1" applyFill="1" applyBorder="1" applyAlignment="1" applyProtection="1">
      <alignment horizontal="left" vertical="center" wrapText="1" shrinkToFit="1"/>
      <protection/>
    </xf>
    <xf numFmtId="4" fontId="1" fillId="0" borderId="18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4" fontId="4" fillId="0" borderId="21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0" fontId="7" fillId="0" borderId="22" xfId="0" applyFont="1" applyFill="1" applyBorder="1" applyAlignment="1" applyProtection="1">
      <alignment horizontal="left" vertical="center" wrapText="1" shrinkToFi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4" fontId="7" fillId="0" borderId="22" xfId="0" applyNumberFormat="1" applyFont="1" applyFill="1" applyBorder="1" applyAlignment="1" applyProtection="1">
      <alignment horizontal="center" vertical="center" wrapText="1"/>
      <protection/>
    </xf>
    <xf numFmtId="4" fontId="7" fillId="24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Border="1" applyAlignment="1" applyProtection="1">
      <alignment horizontal="center" vertical="center" wrapText="1"/>
      <protection locked="0"/>
    </xf>
    <xf numFmtId="2" fontId="7" fillId="24" borderId="22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Fill="1" applyBorder="1" applyAlignment="1" applyProtection="1">
      <alignment horizontal="left" vertical="center" wrapText="1"/>
      <protection/>
    </xf>
    <xf numFmtId="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4" fontId="8" fillId="0" borderId="22" xfId="0" applyNumberFormat="1" applyFont="1" applyFill="1" applyBorder="1" applyAlignment="1" applyProtection="1">
      <alignment horizontal="center" vertical="center"/>
      <protection/>
    </xf>
    <xf numFmtId="4" fontId="8" fillId="24" borderId="2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22" xfId="0" applyNumberFormat="1" applyFont="1" applyFill="1" applyBorder="1" applyAlignment="1" applyProtection="1">
      <alignment horizontal="center" vertical="center" wrapText="1" shrinkToFit="1"/>
      <protection/>
    </xf>
    <xf numFmtId="2" fontId="7" fillId="0" borderId="22" xfId="0" applyNumberFormat="1" applyFont="1" applyFill="1" applyBorder="1" applyAlignment="1" applyProtection="1">
      <alignment horizontal="center" vertical="center"/>
      <protection/>
    </xf>
    <xf numFmtId="4" fontId="7" fillId="0" borderId="22" xfId="0" applyNumberFormat="1" applyFont="1" applyFill="1" applyBorder="1" applyAlignment="1" applyProtection="1">
      <alignment horizontal="center" vertical="center"/>
      <protection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4" fontId="7" fillId="0" borderId="22" xfId="0" applyNumberFormat="1" applyFont="1" applyFill="1" applyBorder="1" applyAlignment="1" applyProtection="1">
      <alignment horizontal="center"/>
      <protection locked="0"/>
    </xf>
    <xf numFmtId="4" fontId="7" fillId="0" borderId="22" xfId="0" applyNumberFormat="1" applyFont="1" applyFill="1" applyBorder="1" applyAlignment="1" applyProtection="1">
      <alignment horizontal="center"/>
      <protection locked="0"/>
    </xf>
    <xf numFmtId="4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left" vertical="center" wrapText="1" shrinkToFit="1"/>
      <protection/>
    </xf>
    <xf numFmtId="2" fontId="8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horizontal="left" vertical="center" wrapText="1" shrinkToFi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22" xfId="0" applyNumberFormat="1" applyFont="1" applyFill="1" applyBorder="1" applyAlignment="1" applyProtection="1">
      <alignment horizontal="center" vertical="center" wrapText="1"/>
      <protection/>
    </xf>
    <xf numFmtId="4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 applyProtection="1">
      <alignment horizontal="center" vertical="center" wrapText="1" shrinkToFit="1"/>
      <protection/>
    </xf>
    <xf numFmtId="0" fontId="26" fillId="0" borderId="22" xfId="0" applyFont="1" applyFill="1" applyBorder="1" applyAlignment="1" applyProtection="1">
      <alignment horizontal="center" vertical="center" wrapText="1" shrinkToFit="1"/>
      <protection/>
    </xf>
    <xf numFmtId="0" fontId="26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  <protection/>
    </xf>
    <xf numFmtId="0" fontId="1" fillId="0" borderId="22" xfId="0" applyFont="1" applyFill="1" applyBorder="1" applyAlignment="1" applyProtection="1">
      <alignment/>
      <protection locked="0"/>
    </xf>
    <xf numFmtId="0" fontId="7" fillId="20" borderId="22" xfId="0" applyFont="1" applyFill="1" applyBorder="1" applyAlignment="1" applyProtection="1">
      <alignment horizontal="center" vertical="center"/>
      <protection/>
    </xf>
    <xf numFmtId="4" fontId="7" fillId="20" borderId="22" xfId="0" applyNumberFormat="1" applyFont="1" applyFill="1" applyBorder="1" applyAlignment="1" applyProtection="1">
      <alignment horizontal="center" vertical="center"/>
      <protection/>
    </xf>
    <xf numFmtId="9" fontId="7" fillId="0" borderId="22" xfId="0" applyNumberFormat="1" applyFont="1" applyFill="1" applyBorder="1" applyAlignment="1" applyProtection="1">
      <alignment horizontal="center" vertical="center"/>
      <protection/>
    </xf>
    <xf numFmtId="10" fontId="7" fillId="0" borderId="22" xfId="0" applyNumberFormat="1" applyFont="1" applyFill="1" applyBorder="1" applyAlignment="1" applyProtection="1">
      <alignment horizontal="center" vertical="center"/>
      <protection/>
    </xf>
    <xf numFmtId="166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22" xfId="0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Alignment="1" applyProtection="1">
      <alignment horizontal="right" vertical="center" wrapTex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wrapText="1"/>
      <protection hidden="1" locked="0"/>
    </xf>
    <xf numFmtId="0" fontId="8" fillId="0" borderId="22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danilova\Desktop\&#1045;&#1088;&#1096;&#1086;&#1074;&#1072;\&#1064;&#1072;&#1073;&#1083;&#1086;&#1085;%20&#1058;&#1057;&#1054;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УЕ ВЛЭП 2012-2019"/>
      <sheetName val="УЕ ТП 2012-2019"/>
      <sheetName val="материалы"/>
      <sheetName val="Ремонты 2015"/>
      <sheetName val="Сводная ремонт"/>
      <sheetName val="численность"/>
      <sheetName val="П.1.16. оплата труда ОПР"/>
      <sheetName val="УПХ"/>
      <sheetName val="УНПХ"/>
      <sheetName val="Страхов"/>
      <sheetName val="Обуч"/>
      <sheetName val="ОТ и ТБ"/>
      <sheetName val="Команд"/>
      <sheetName val="Услуги банков"/>
      <sheetName val="Др проч"/>
      <sheetName val="Расходы соц. хар-ра"/>
      <sheetName val="Другие расходы прибыль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тчислен на соц. нуж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 2012-2019 "/>
      <sheetName val="Выпадающий доход"/>
      <sheetName val="Возврат заемных средств"/>
      <sheetName val="Результаты деятельности орг-ии"/>
      <sheetName val="Корр. ПР"/>
      <sheetName val="Корр. НР"/>
      <sheetName val="Корр. ПО"/>
      <sheetName val="Корр. ИП"/>
      <sheetName val="Корр. КНК"/>
      <sheetName val="НВВ на потери"/>
      <sheetName val=" НВВ содержание"/>
      <sheetName val="НВВ по данным предпр."/>
      <sheetName val="НВВ по данным экспертов"/>
      <sheetName val="Смета общая НВВ (предпр)"/>
      <sheetName val="Смета общая НВВ (эксперт)"/>
      <sheetName val="TEHSHEET"/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4"/>
  <sheetViews>
    <sheetView tabSelected="1" zoomScale="85" zoomScaleNormal="85" zoomScalePageLayoutView="0" workbookViewId="0" topLeftCell="A1">
      <pane ySplit="11" topLeftCell="BM12" activePane="bottomLeft" state="frozen"/>
      <selection pane="topLeft" activeCell="A1" sqref="A1"/>
      <selection pane="bottomLeft" activeCell="C16" sqref="C16"/>
    </sheetView>
  </sheetViews>
  <sheetFormatPr defaultColWidth="4.625" defaultRowHeight="12.75"/>
  <cols>
    <col min="1" max="1" width="8.875" style="3" customWidth="1"/>
    <col min="2" max="2" width="7.25390625" style="3" customWidth="1"/>
    <col min="3" max="3" width="70.625" style="3" customWidth="1"/>
    <col min="4" max="4" width="14.75390625" style="5" customWidth="1"/>
    <col min="5" max="5" width="11.75390625" style="5" hidden="1" customWidth="1"/>
    <col min="6" max="6" width="13.625" style="3" hidden="1" customWidth="1"/>
    <col min="7" max="7" width="13.75390625" style="3" hidden="1" customWidth="1"/>
    <col min="8" max="8" width="15.00390625" style="3" hidden="1" customWidth="1"/>
    <col min="9" max="9" width="15.25390625" style="3" hidden="1" customWidth="1"/>
    <col min="10" max="10" width="19.625" style="3" customWidth="1"/>
    <col min="11" max="242" width="9.125" style="3" customWidth="1"/>
    <col min="243" max="16384" width="4.625" style="3" customWidth="1"/>
  </cols>
  <sheetData>
    <row r="1" spans="4:10" ht="12.75" customHeight="1">
      <c r="D1" s="99" t="s">
        <v>102</v>
      </c>
      <c r="E1" s="99"/>
      <c r="F1" s="99"/>
      <c r="G1" s="99"/>
      <c r="H1" s="99"/>
      <c r="I1" s="99"/>
      <c r="J1" s="99"/>
    </row>
    <row r="2" spans="4:10" ht="12.75" customHeight="1">
      <c r="D2" s="99"/>
      <c r="E2" s="99"/>
      <c r="F2" s="99"/>
      <c r="G2" s="99"/>
      <c r="H2" s="99"/>
      <c r="I2" s="99"/>
      <c r="J2" s="99"/>
    </row>
    <row r="3" spans="4:10" ht="12.75" customHeight="1">
      <c r="D3" s="99"/>
      <c r="E3" s="99"/>
      <c r="F3" s="99"/>
      <c r="G3" s="99"/>
      <c r="H3" s="99"/>
      <c r="I3" s="99"/>
      <c r="J3" s="99"/>
    </row>
    <row r="4" spans="2:10" ht="12.75" customHeight="1">
      <c r="B4" s="1"/>
      <c r="C4" s="1"/>
      <c r="D4" s="99"/>
      <c r="E4" s="99"/>
      <c r="F4" s="99"/>
      <c r="G4" s="99"/>
      <c r="H4" s="99"/>
      <c r="I4" s="99"/>
      <c r="J4" s="99"/>
    </row>
    <row r="5" spans="2:7" ht="12.75" customHeight="1">
      <c r="B5" s="1"/>
      <c r="C5" s="1"/>
      <c r="D5" s="2"/>
      <c r="E5" s="2"/>
      <c r="F5" s="1"/>
      <c r="G5" s="1"/>
    </row>
    <row r="6" spans="2:10" s="4" customFormat="1" ht="82.5" customHeight="1">
      <c r="B6" s="105" t="s">
        <v>103</v>
      </c>
      <c r="C6" s="105"/>
      <c r="D6" s="105"/>
      <c r="E6" s="105"/>
      <c r="F6" s="105"/>
      <c r="G6" s="105"/>
      <c r="H6" s="105"/>
      <c r="I6" s="105"/>
      <c r="J6" s="105"/>
    </row>
    <row r="7" ht="9" customHeight="1"/>
    <row r="8" spans="2:10" ht="15" customHeight="1">
      <c r="B8" s="100" t="s">
        <v>0</v>
      </c>
      <c r="C8" s="100" t="s">
        <v>1</v>
      </c>
      <c r="D8" s="101" t="s">
        <v>2</v>
      </c>
      <c r="E8" s="101" t="s">
        <v>52</v>
      </c>
      <c r="F8" s="101"/>
      <c r="G8" s="106" t="s">
        <v>53</v>
      </c>
      <c r="H8" s="106"/>
      <c r="I8" s="85" t="s">
        <v>54</v>
      </c>
      <c r="J8" s="102" t="s">
        <v>97</v>
      </c>
    </row>
    <row r="9" spans="2:10" ht="15" customHeight="1">
      <c r="B9" s="100"/>
      <c r="C9" s="100"/>
      <c r="D9" s="101"/>
      <c r="E9" s="101"/>
      <c r="F9" s="101"/>
      <c r="G9" s="106"/>
      <c r="H9" s="106"/>
      <c r="I9" s="85"/>
      <c r="J9" s="103"/>
    </row>
    <row r="10" spans="2:16" ht="27.75" customHeight="1">
      <c r="B10" s="100"/>
      <c r="C10" s="100"/>
      <c r="D10" s="101"/>
      <c r="E10" s="84" t="s">
        <v>4</v>
      </c>
      <c r="F10" s="84" t="s">
        <v>56</v>
      </c>
      <c r="G10" s="86" t="s">
        <v>55</v>
      </c>
      <c r="H10" s="86" t="s">
        <v>3</v>
      </c>
      <c r="I10" s="86" t="s">
        <v>51</v>
      </c>
      <c r="J10" s="103"/>
      <c r="K10" s="44"/>
      <c r="L10" s="44"/>
      <c r="M10" s="44"/>
      <c r="N10" s="44"/>
      <c r="O10" s="44"/>
      <c r="P10" s="44"/>
    </row>
    <row r="11" spans="2:16" s="6" customFormat="1" ht="13.5" customHeight="1">
      <c r="B11" s="87">
        <v>1</v>
      </c>
      <c r="C11" s="87">
        <v>2</v>
      </c>
      <c r="D11" s="88">
        <v>3</v>
      </c>
      <c r="E11" s="88"/>
      <c r="F11" s="88">
        <v>6</v>
      </c>
      <c r="G11" s="88">
        <v>8</v>
      </c>
      <c r="H11" s="88">
        <v>9</v>
      </c>
      <c r="I11" s="89">
        <v>10</v>
      </c>
      <c r="J11" s="89">
        <v>4</v>
      </c>
      <c r="K11" s="45"/>
      <c r="L11" s="45"/>
      <c r="M11" s="45"/>
      <c r="N11" s="45"/>
      <c r="O11" s="45"/>
      <c r="P11" s="45"/>
    </row>
    <row r="12" spans="2:16" s="26" customFormat="1" ht="14.25" customHeight="1" hidden="1" thickBot="1">
      <c r="B12" s="90" t="s">
        <v>5</v>
      </c>
      <c r="C12" s="90"/>
      <c r="D12" s="90"/>
      <c r="E12" s="90"/>
      <c r="F12" s="90"/>
      <c r="G12" s="90"/>
      <c r="H12" s="91"/>
      <c r="I12" s="91"/>
      <c r="J12" s="91"/>
      <c r="K12" s="30"/>
      <c r="L12" s="30"/>
      <c r="M12" s="30"/>
      <c r="N12" s="30"/>
      <c r="O12" s="30"/>
      <c r="P12" s="30"/>
    </row>
    <row r="13" spans="2:16" ht="15" customHeight="1" hidden="1">
      <c r="B13" s="52">
        <v>1</v>
      </c>
      <c r="C13" s="53" t="s">
        <v>6</v>
      </c>
      <c r="D13" s="54" t="s">
        <v>7</v>
      </c>
      <c r="E13" s="92"/>
      <c r="F13" s="93" t="e">
        <f>F38</f>
        <v>#REF!</v>
      </c>
      <c r="G13" s="93" t="e">
        <f>G38</f>
        <v>#REF!</v>
      </c>
      <c r="H13" s="71" t="e">
        <f>H38</f>
        <v>#REF!</v>
      </c>
      <c r="I13" s="71" t="e">
        <f>I38</f>
        <v>#REF!</v>
      </c>
      <c r="J13" s="71">
        <f>J38</f>
        <v>74249.2405125469</v>
      </c>
      <c r="K13" s="44"/>
      <c r="L13" s="44"/>
      <c r="M13" s="44"/>
      <c r="N13" s="44"/>
      <c r="O13" s="44"/>
      <c r="P13" s="44"/>
    </row>
    <row r="14" spans="2:16" ht="23.25" customHeight="1">
      <c r="B14" s="52" t="s">
        <v>60</v>
      </c>
      <c r="C14" s="53" t="s">
        <v>9</v>
      </c>
      <c r="D14" s="54" t="s">
        <v>10</v>
      </c>
      <c r="E14" s="54" t="s">
        <v>8</v>
      </c>
      <c r="F14" s="94">
        <v>0.01</v>
      </c>
      <c r="G14" s="94" t="s">
        <v>8</v>
      </c>
      <c r="H14" s="94" t="s">
        <v>8</v>
      </c>
      <c r="I14" s="94">
        <v>0.03</v>
      </c>
      <c r="J14" s="94">
        <v>0.03</v>
      </c>
      <c r="K14" s="44"/>
      <c r="L14" s="44"/>
      <c r="M14" s="44"/>
      <c r="N14" s="44"/>
      <c r="O14" s="44"/>
      <c r="P14" s="44"/>
    </row>
    <row r="15" spans="2:16" ht="31.5">
      <c r="B15" s="52" t="s">
        <v>61</v>
      </c>
      <c r="C15" s="53" t="s">
        <v>11</v>
      </c>
      <c r="D15" s="54" t="s">
        <v>12</v>
      </c>
      <c r="E15" s="54" t="s">
        <v>8</v>
      </c>
      <c r="F15" s="70">
        <v>0.75</v>
      </c>
      <c r="G15" s="71" t="s">
        <v>8</v>
      </c>
      <c r="H15" s="71" t="s">
        <v>8</v>
      </c>
      <c r="I15" s="71">
        <v>0.75</v>
      </c>
      <c r="J15" s="71">
        <v>0.75</v>
      </c>
      <c r="K15" s="44"/>
      <c r="L15" s="44"/>
      <c r="M15" s="44"/>
      <c r="N15" s="44"/>
      <c r="O15" s="44"/>
      <c r="P15" s="44"/>
    </row>
    <row r="16" spans="2:16" ht="15" customHeight="1">
      <c r="B16" s="52" t="s">
        <v>64</v>
      </c>
      <c r="C16" s="53" t="s">
        <v>14</v>
      </c>
      <c r="D16" s="54" t="s">
        <v>10</v>
      </c>
      <c r="E16" s="54" t="s">
        <v>8</v>
      </c>
      <c r="F16" s="95">
        <v>0.052</v>
      </c>
      <c r="G16" s="95" t="s">
        <v>8</v>
      </c>
      <c r="H16" s="95" t="s">
        <v>8</v>
      </c>
      <c r="I16" s="95">
        <v>0.044</v>
      </c>
      <c r="J16" s="95">
        <v>0.037</v>
      </c>
      <c r="K16" s="44"/>
      <c r="L16" s="44"/>
      <c r="M16" s="44"/>
      <c r="N16" s="44"/>
      <c r="O16" s="44"/>
      <c r="P16" s="44"/>
    </row>
    <row r="17" spans="2:16" ht="15" customHeight="1">
      <c r="B17" s="52" t="s">
        <v>58</v>
      </c>
      <c r="C17" s="53" t="s">
        <v>15</v>
      </c>
      <c r="D17" s="54" t="s">
        <v>59</v>
      </c>
      <c r="E17" s="54">
        <v>419.21</v>
      </c>
      <c r="F17" s="70">
        <v>434.04</v>
      </c>
      <c r="G17" s="71">
        <v>432.84</v>
      </c>
      <c r="H17" s="71">
        <v>432.84</v>
      </c>
      <c r="I17" s="71">
        <v>432.84</v>
      </c>
      <c r="J17" s="66">
        <v>10039.18</v>
      </c>
      <c r="K17" s="44"/>
      <c r="L17" s="44"/>
      <c r="M17" s="44"/>
      <c r="N17" s="44"/>
      <c r="O17" s="44"/>
      <c r="P17" s="44"/>
    </row>
    <row r="18" spans="2:16" ht="15" customHeight="1">
      <c r="B18" s="52" t="s">
        <v>62</v>
      </c>
      <c r="C18" s="53" t="s">
        <v>16</v>
      </c>
      <c r="D18" s="54" t="s">
        <v>10</v>
      </c>
      <c r="E18" s="54" t="s">
        <v>8</v>
      </c>
      <c r="F18" s="95">
        <v>0</v>
      </c>
      <c r="G18" s="95" t="s">
        <v>8</v>
      </c>
      <c r="H18" s="95" t="s">
        <v>8</v>
      </c>
      <c r="I18" s="95">
        <f>(I17-G17)/G17</f>
        <v>0</v>
      </c>
      <c r="J18" s="95">
        <v>-0.0411</v>
      </c>
      <c r="K18" s="44"/>
      <c r="L18" s="44"/>
      <c r="M18" s="44"/>
      <c r="N18" s="44"/>
      <c r="O18" s="44"/>
      <c r="P18" s="44"/>
    </row>
    <row r="19" spans="2:16" ht="18.75" customHeight="1">
      <c r="B19" s="98" t="s">
        <v>63</v>
      </c>
      <c r="C19" s="76" t="s">
        <v>50</v>
      </c>
      <c r="D19" s="65" t="s">
        <v>12</v>
      </c>
      <c r="E19" s="65" t="s">
        <v>8</v>
      </c>
      <c r="F19" s="96">
        <f>(1+F16)*(1-F14)*(1+F18*F15)</f>
        <v>1.04148</v>
      </c>
      <c r="G19" s="96" t="s">
        <v>8</v>
      </c>
      <c r="H19" s="96" t="s">
        <v>8</v>
      </c>
      <c r="I19" s="96">
        <f>(1+I16)*(1-I14)*(1+I18*I15)</f>
        <v>1.01268</v>
      </c>
      <c r="J19" s="96">
        <f>(1+J16)*(1-J14)*(1+J18*J15)</f>
        <v>0.97488344075</v>
      </c>
      <c r="K19" s="44"/>
      <c r="L19" s="44"/>
      <c r="M19" s="44"/>
      <c r="N19" s="44"/>
      <c r="O19" s="44"/>
      <c r="P19" s="44"/>
    </row>
    <row r="20" spans="2:16" s="26" customFormat="1" ht="15.75">
      <c r="B20" s="83"/>
      <c r="C20" s="41"/>
      <c r="D20" s="42"/>
      <c r="E20" s="42"/>
      <c r="F20" s="40"/>
      <c r="G20" s="40"/>
      <c r="H20" s="40"/>
      <c r="I20" s="40"/>
      <c r="J20" s="40"/>
      <c r="K20" s="30"/>
      <c r="L20" s="30"/>
      <c r="M20" s="30"/>
      <c r="N20" s="30"/>
      <c r="O20" s="30"/>
      <c r="P20" s="30"/>
    </row>
    <row r="21" spans="2:16" ht="14.25" customHeight="1">
      <c r="B21" s="107" t="s">
        <v>17</v>
      </c>
      <c r="C21" s="107"/>
      <c r="D21" s="107"/>
      <c r="E21" s="107"/>
      <c r="F21" s="107"/>
      <c r="G21" s="107"/>
      <c r="H21" s="107"/>
      <c r="I21" s="107"/>
      <c r="J21" s="107"/>
      <c r="K21" s="44"/>
      <c r="L21" s="44"/>
      <c r="M21" s="44"/>
      <c r="N21" s="44"/>
      <c r="O21" s="44"/>
      <c r="P21" s="44"/>
    </row>
    <row r="22" spans="2:16" ht="15" customHeight="1">
      <c r="B22" s="69" t="s">
        <v>60</v>
      </c>
      <c r="C22" s="53" t="s">
        <v>18</v>
      </c>
      <c r="D22" s="54" t="s">
        <v>7</v>
      </c>
      <c r="E22" s="59">
        <v>4099.4</v>
      </c>
      <c r="F22" s="55">
        <v>2586.8</v>
      </c>
      <c r="G22" s="56">
        <v>4056.3</v>
      </c>
      <c r="H22" s="55">
        <v>2760.1156</v>
      </c>
      <c r="I22" s="80">
        <v>4244.53</v>
      </c>
      <c r="J22" s="61">
        <v>30646.16409807052</v>
      </c>
      <c r="K22" s="46"/>
      <c r="L22" s="47"/>
      <c r="M22" s="44"/>
      <c r="N22" s="44"/>
      <c r="O22" s="44"/>
      <c r="P22" s="44"/>
    </row>
    <row r="23" spans="2:16" ht="15" customHeight="1">
      <c r="B23" s="69" t="s">
        <v>61</v>
      </c>
      <c r="C23" s="53" t="s">
        <v>19</v>
      </c>
      <c r="D23" s="54" t="s">
        <v>7</v>
      </c>
      <c r="E23" s="59">
        <v>421.5</v>
      </c>
      <c r="F23" s="55">
        <v>259.3</v>
      </c>
      <c r="G23" s="56">
        <v>512.8</v>
      </c>
      <c r="H23" s="55">
        <v>259.3</v>
      </c>
      <c r="I23" s="80">
        <v>262.59</v>
      </c>
      <c r="J23" s="61">
        <v>3378.6415654801926</v>
      </c>
      <c r="K23" s="46"/>
      <c r="L23" s="47"/>
      <c r="M23" s="44"/>
      <c r="N23" s="44"/>
      <c r="O23" s="44"/>
      <c r="P23" s="44"/>
    </row>
    <row r="24" spans="2:16" ht="15" customHeight="1">
      <c r="B24" s="69" t="s">
        <v>64</v>
      </c>
      <c r="C24" s="53" t="s">
        <v>20</v>
      </c>
      <c r="D24" s="54" t="s">
        <v>7</v>
      </c>
      <c r="E24" s="59">
        <v>661.9</v>
      </c>
      <c r="F24" s="55">
        <v>0</v>
      </c>
      <c r="G24" s="56">
        <v>840.1</v>
      </c>
      <c r="H24" s="55">
        <v>0</v>
      </c>
      <c r="I24" s="80">
        <v>449.02</v>
      </c>
      <c r="J24" s="61">
        <v>7070.424707623452</v>
      </c>
      <c r="K24" s="46"/>
      <c r="L24" s="47"/>
      <c r="M24" s="44"/>
      <c r="N24" s="44"/>
      <c r="O24" s="44"/>
      <c r="P24" s="44"/>
    </row>
    <row r="25" spans="2:16" ht="15" customHeight="1">
      <c r="B25" s="69" t="s">
        <v>58</v>
      </c>
      <c r="C25" s="53" t="s">
        <v>70</v>
      </c>
      <c r="D25" s="54" t="s">
        <v>7</v>
      </c>
      <c r="E25" s="59" t="e">
        <f>E26+#REF!+E30+E31+E32+E33+E34+E35</f>
        <v>#REF!</v>
      </c>
      <c r="F25" s="55" t="e">
        <f>F26+#REF!+F30+F31+F32+F33+F34+F35</f>
        <v>#REF!</v>
      </c>
      <c r="G25" s="56" t="e">
        <f>G26+#REF!+G30+G31+G32+G33+G34+G35</f>
        <v>#REF!</v>
      </c>
      <c r="H25" s="55" t="e">
        <f>H26+#REF!+H30+H31+H32+H33+H34+H35</f>
        <v>#REF!</v>
      </c>
      <c r="I25" s="80" t="e">
        <f>I26+#REF!+I30+I31+I32+I33+I34+I35</f>
        <v>#REF!</v>
      </c>
      <c r="J25" s="61">
        <v>32844.62034698082</v>
      </c>
      <c r="K25" s="46"/>
      <c r="L25" s="47"/>
      <c r="M25" s="44"/>
      <c r="N25" s="44"/>
      <c r="O25" s="44"/>
      <c r="P25" s="44"/>
    </row>
    <row r="26" spans="2:16" ht="15" customHeight="1">
      <c r="B26" s="69" t="s">
        <v>78</v>
      </c>
      <c r="C26" s="53" t="s">
        <v>22</v>
      </c>
      <c r="D26" s="54" t="s">
        <v>7</v>
      </c>
      <c r="E26" s="59">
        <v>435.2</v>
      </c>
      <c r="F26" s="55">
        <v>165.6</v>
      </c>
      <c r="G26" s="56">
        <v>433.9</v>
      </c>
      <c r="H26" s="55">
        <v>277.5</v>
      </c>
      <c r="I26" s="80">
        <v>281.01</v>
      </c>
      <c r="J26" s="61">
        <v>30984.06939687843</v>
      </c>
      <c r="K26" s="46"/>
      <c r="L26" s="47"/>
      <c r="M26" s="44"/>
      <c r="N26" s="44"/>
      <c r="O26" s="44"/>
      <c r="P26" s="44"/>
    </row>
    <row r="27" spans="2:16" ht="15" customHeight="1">
      <c r="B27" s="69" t="s">
        <v>92</v>
      </c>
      <c r="C27" s="53" t="s">
        <v>89</v>
      </c>
      <c r="D27" s="54" t="s">
        <v>7</v>
      </c>
      <c r="E27" s="59"/>
      <c r="F27" s="55"/>
      <c r="G27" s="56"/>
      <c r="H27" s="55"/>
      <c r="I27" s="80"/>
      <c r="J27" s="61">
        <v>12537.907786728816</v>
      </c>
      <c r="K27" s="47"/>
      <c r="L27" s="47"/>
      <c r="M27" s="44"/>
      <c r="N27" s="44"/>
      <c r="O27" s="44"/>
      <c r="P27" s="44"/>
    </row>
    <row r="28" spans="2:16" ht="15" customHeight="1">
      <c r="B28" s="69" t="s">
        <v>93</v>
      </c>
      <c r="C28" s="53" t="s">
        <v>90</v>
      </c>
      <c r="D28" s="54" t="s">
        <v>7</v>
      </c>
      <c r="E28" s="59"/>
      <c r="F28" s="55"/>
      <c r="G28" s="56"/>
      <c r="H28" s="55"/>
      <c r="I28" s="80"/>
      <c r="J28" s="61">
        <v>14632.822681576221</v>
      </c>
      <c r="K28" s="47"/>
      <c r="L28" s="47"/>
      <c r="M28" s="44"/>
      <c r="N28" s="44"/>
      <c r="O28" s="44"/>
      <c r="P28" s="44"/>
    </row>
    <row r="29" spans="2:16" ht="15" customHeight="1">
      <c r="B29" s="69" t="s">
        <v>94</v>
      </c>
      <c r="C29" s="53" t="s">
        <v>91</v>
      </c>
      <c r="D29" s="54" t="s">
        <v>7</v>
      </c>
      <c r="E29" s="59"/>
      <c r="F29" s="55"/>
      <c r="G29" s="56"/>
      <c r="H29" s="55"/>
      <c r="I29" s="80"/>
      <c r="J29" s="61">
        <v>3813.338928573391</v>
      </c>
      <c r="K29" s="47"/>
      <c r="L29" s="47"/>
      <c r="M29" s="44"/>
      <c r="N29" s="44"/>
      <c r="O29" s="44"/>
      <c r="P29" s="44"/>
    </row>
    <row r="30" spans="2:16" ht="19.5" customHeight="1">
      <c r="B30" s="69" t="s">
        <v>71</v>
      </c>
      <c r="C30" s="53" t="s">
        <v>72</v>
      </c>
      <c r="D30" s="54" t="s">
        <v>7</v>
      </c>
      <c r="E30" s="59">
        <v>191.3</v>
      </c>
      <c r="F30" s="55">
        <v>218.4</v>
      </c>
      <c r="G30" s="56">
        <v>192.9</v>
      </c>
      <c r="H30" s="55">
        <v>264.31</v>
      </c>
      <c r="I30" s="80">
        <v>267.66</v>
      </c>
      <c r="J30" s="61">
        <v>0</v>
      </c>
      <c r="K30" s="44"/>
      <c r="L30" s="44"/>
      <c r="M30" s="44"/>
      <c r="N30" s="44"/>
      <c r="O30" s="44"/>
      <c r="P30" s="44"/>
    </row>
    <row r="31" spans="2:16" ht="15" customHeight="1">
      <c r="B31" s="69" t="s">
        <v>79</v>
      </c>
      <c r="C31" s="53" t="s">
        <v>24</v>
      </c>
      <c r="D31" s="54" t="s">
        <v>7</v>
      </c>
      <c r="E31" s="59">
        <v>18.5</v>
      </c>
      <c r="F31" s="55">
        <v>0</v>
      </c>
      <c r="G31" s="56">
        <v>7.9</v>
      </c>
      <c r="H31" s="55">
        <v>0</v>
      </c>
      <c r="I31" s="80">
        <v>0</v>
      </c>
      <c r="J31" s="61">
        <v>0</v>
      </c>
      <c r="K31" s="44"/>
      <c r="L31" s="44"/>
      <c r="M31" s="44"/>
      <c r="N31" s="44"/>
      <c r="O31" s="44"/>
      <c r="P31" s="44"/>
    </row>
    <row r="32" spans="2:16" ht="15" customHeight="1">
      <c r="B32" s="69" t="s">
        <v>23</v>
      </c>
      <c r="C32" s="53" t="s">
        <v>25</v>
      </c>
      <c r="D32" s="54" t="s">
        <v>7</v>
      </c>
      <c r="E32" s="59">
        <v>0</v>
      </c>
      <c r="F32" s="55">
        <v>0</v>
      </c>
      <c r="G32" s="56">
        <v>0</v>
      </c>
      <c r="H32" s="55">
        <v>0</v>
      </c>
      <c r="I32" s="80">
        <v>0</v>
      </c>
      <c r="J32" s="61">
        <v>0</v>
      </c>
      <c r="K32" s="44"/>
      <c r="L32" s="44"/>
      <c r="M32" s="44"/>
      <c r="N32" s="44"/>
      <c r="O32" s="44"/>
      <c r="P32" s="44"/>
    </row>
    <row r="33" spans="2:10" ht="15" customHeight="1">
      <c r="B33" s="69" t="s">
        <v>80</v>
      </c>
      <c r="C33" s="53" t="s">
        <v>73</v>
      </c>
      <c r="D33" s="54" t="s">
        <v>7</v>
      </c>
      <c r="E33" s="59">
        <v>0</v>
      </c>
      <c r="F33" s="55">
        <v>0</v>
      </c>
      <c r="G33" s="56">
        <v>0</v>
      </c>
      <c r="H33" s="55">
        <v>0</v>
      </c>
      <c r="I33" s="80">
        <f>G33*$I$19</f>
        <v>0</v>
      </c>
      <c r="J33" s="61">
        <v>1860.5509501023894</v>
      </c>
    </row>
    <row r="34" spans="2:10" ht="15" customHeight="1">
      <c r="B34" s="69" t="s">
        <v>81</v>
      </c>
      <c r="C34" s="53" t="s">
        <v>74</v>
      </c>
      <c r="D34" s="54" t="s">
        <v>7</v>
      </c>
      <c r="E34" s="59">
        <v>0</v>
      </c>
      <c r="F34" s="55">
        <v>0</v>
      </c>
      <c r="G34" s="56">
        <v>0</v>
      </c>
      <c r="H34" s="55">
        <v>0</v>
      </c>
      <c r="I34" s="80">
        <f>G34*$I$19</f>
        <v>0</v>
      </c>
      <c r="J34" s="61">
        <v>1097.1269304677814</v>
      </c>
    </row>
    <row r="35" spans="2:10" ht="15" customHeight="1">
      <c r="B35" s="69" t="s">
        <v>82</v>
      </c>
      <c r="C35" s="53" t="s">
        <v>75</v>
      </c>
      <c r="D35" s="54" t="s">
        <v>7</v>
      </c>
      <c r="E35" s="59">
        <v>27</v>
      </c>
      <c r="F35" s="55">
        <f>F36</f>
        <v>26.3</v>
      </c>
      <c r="G35" s="56">
        <f>G36</f>
        <v>32</v>
      </c>
      <c r="H35" s="55">
        <f>443.4+H36</f>
        <v>475.4</v>
      </c>
      <c r="I35" s="80">
        <f>I36</f>
        <v>32.41</v>
      </c>
      <c r="J35" s="61">
        <v>763.4240196346079</v>
      </c>
    </row>
    <row r="36" spans="2:10" ht="15" customHeight="1">
      <c r="B36" s="69" t="s">
        <v>62</v>
      </c>
      <c r="C36" s="53" t="s">
        <v>76</v>
      </c>
      <c r="D36" s="54" t="s">
        <v>7</v>
      </c>
      <c r="E36" s="59">
        <v>27</v>
      </c>
      <c r="F36" s="55">
        <v>26.3</v>
      </c>
      <c r="G36" s="56">
        <v>32</v>
      </c>
      <c r="H36" s="55">
        <v>32</v>
      </c>
      <c r="I36" s="80">
        <v>32.41</v>
      </c>
      <c r="J36" s="61">
        <v>309.38979439191434</v>
      </c>
    </row>
    <row r="37" spans="2:10" ht="19.5" customHeight="1">
      <c r="B37" s="69" t="s">
        <v>77</v>
      </c>
      <c r="C37" s="53" t="s">
        <v>26</v>
      </c>
      <c r="D37" s="54" t="s">
        <v>7</v>
      </c>
      <c r="E37" s="59">
        <v>0</v>
      </c>
      <c r="F37" s="55">
        <v>0</v>
      </c>
      <c r="G37" s="56">
        <v>0</v>
      </c>
      <c r="H37" s="55">
        <v>0</v>
      </c>
      <c r="I37" s="80">
        <f>G37*$I$19</f>
        <v>0</v>
      </c>
      <c r="J37" s="61">
        <v>309.38979439191434</v>
      </c>
    </row>
    <row r="38" spans="2:10" s="26" customFormat="1" ht="20.25" customHeight="1">
      <c r="B38" s="97" t="s">
        <v>63</v>
      </c>
      <c r="C38" s="76" t="s">
        <v>27</v>
      </c>
      <c r="D38" s="65" t="s">
        <v>7</v>
      </c>
      <c r="E38" s="81" t="e">
        <f>E22+E23+E24+E25+#REF!+#REF!-0.1</f>
        <v>#REF!</v>
      </c>
      <c r="F38" s="81" t="e">
        <f>F22+F23+F24+F25+#REF!+#REF!+0.1</f>
        <v>#REF!</v>
      </c>
      <c r="G38" s="81" t="e">
        <f>G22+G23+G24+G25+#REF!+#REF!+0.1</f>
        <v>#REF!</v>
      </c>
      <c r="H38" s="81" t="e">
        <f>H22+H23+H24+H25+#REF!+#REF!</f>
        <v>#REF!</v>
      </c>
      <c r="I38" s="81" t="e">
        <f>I22+I23+I24+I25+#REF!+#REF!</f>
        <v>#REF!</v>
      </c>
      <c r="J38" s="82">
        <f>J22+J23+J24+J25+J36</f>
        <v>74249.2405125469</v>
      </c>
    </row>
    <row r="39" spans="2:10" s="26" customFormat="1" ht="15" customHeight="1">
      <c r="B39" s="78"/>
      <c r="C39" s="79"/>
      <c r="D39" s="39"/>
      <c r="E39" s="34"/>
      <c r="F39" s="34"/>
      <c r="G39" s="34"/>
      <c r="H39" s="34"/>
      <c r="I39" s="34"/>
      <c r="J39" s="38"/>
    </row>
    <row r="40" spans="2:10" s="26" customFormat="1" ht="14.25" customHeight="1">
      <c r="B40" s="104" t="s">
        <v>28</v>
      </c>
      <c r="C40" s="104"/>
      <c r="D40" s="104"/>
      <c r="E40" s="104"/>
      <c r="F40" s="104"/>
      <c r="G40" s="104"/>
      <c r="H40" s="104"/>
      <c r="I40" s="104"/>
      <c r="J40" s="104"/>
    </row>
    <row r="41" spans="2:10" s="26" customFormat="1" ht="15" customHeight="1">
      <c r="B41" s="69" t="s">
        <v>60</v>
      </c>
      <c r="C41" s="53" t="s">
        <v>29</v>
      </c>
      <c r="D41" s="54" t="s">
        <v>7</v>
      </c>
      <c r="E41" s="70">
        <v>12195</v>
      </c>
      <c r="F41" s="71">
        <v>3008.1</v>
      </c>
      <c r="G41" s="71">
        <v>4972.4</v>
      </c>
      <c r="H41" s="70">
        <v>3008.1</v>
      </c>
      <c r="I41" s="71">
        <v>4916.94</v>
      </c>
      <c r="J41" s="71">
        <v>49096.8</v>
      </c>
    </row>
    <row r="42" spans="2:10" s="26" customFormat="1" ht="15" customHeight="1">
      <c r="B42" s="69" t="s">
        <v>61</v>
      </c>
      <c r="C42" s="53" t="s">
        <v>30</v>
      </c>
      <c r="D42" s="54" t="s">
        <v>7</v>
      </c>
      <c r="E42" s="70">
        <v>1218.9</v>
      </c>
      <c r="F42" s="71">
        <v>786.4</v>
      </c>
      <c r="G42" s="71">
        <v>1207.3</v>
      </c>
      <c r="H42" s="70">
        <v>833.55</v>
      </c>
      <c r="I42" s="72">
        <f>I22*0.302</f>
        <v>1281.8480599999998</v>
      </c>
      <c r="J42" s="73">
        <v>9316.43</v>
      </c>
    </row>
    <row r="43" spans="2:10" s="26" customFormat="1" ht="15.75" customHeight="1">
      <c r="B43" s="69" t="s">
        <v>64</v>
      </c>
      <c r="C43" s="53" t="s">
        <v>31</v>
      </c>
      <c r="D43" s="54" t="s">
        <v>7</v>
      </c>
      <c r="E43" s="70">
        <f>SUM(E44:E46)</f>
        <v>0</v>
      </c>
      <c r="F43" s="71">
        <f>SUM(F44:F46)</f>
        <v>81.8</v>
      </c>
      <c r="G43" s="71">
        <f>SUM(G44:G46)</f>
        <v>0</v>
      </c>
      <c r="H43" s="70">
        <f>SUM(H44:H46)</f>
        <v>0</v>
      </c>
      <c r="I43" s="72">
        <f>SUM(I44:I46)</f>
        <v>0</v>
      </c>
      <c r="J43" s="73">
        <f>J44+J45+J46</f>
        <v>11225.49</v>
      </c>
    </row>
    <row r="44" spans="2:10" s="26" customFormat="1" ht="15" customHeight="1">
      <c r="B44" s="69" t="s">
        <v>57</v>
      </c>
      <c r="C44" s="53" t="s">
        <v>32</v>
      </c>
      <c r="D44" s="54" t="s">
        <v>7</v>
      </c>
      <c r="E44" s="70"/>
      <c r="F44" s="71"/>
      <c r="G44" s="71"/>
      <c r="H44" s="70"/>
      <c r="I44" s="72"/>
      <c r="J44" s="73">
        <v>11219.35</v>
      </c>
    </row>
    <row r="45" spans="2:10" s="26" customFormat="1" ht="15" customHeight="1">
      <c r="B45" s="69" t="s">
        <v>84</v>
      </c>
      <c r="C45" s="53" t="s">
        <v>33</v>
      </c>
      <c r="D45" s="54" t="s">
        <v>7</v>
      </c>
      <c r="E45" s="70"/>
      <c r="F45" s="71"/>
      <c r="G45" s="71"/>
      <c r="H45" s="70"/>
      <c r="I45" s="72"/>
      <c r="J45" s="73">
        <v>0</v>
      </c>
    </row>
    <row r="46" spans="2:10" s="26" customFormat="1" ht="15" customHeight="1">
      <c r="B46" s="69" t="s">
        <v>85</v>
      </c>
      <c r="C46" s="53" t="s">
        <v>83</v>
      </c>
      <c r="D46" s="54" t="s">
        <v>7</v>
      </c>
      <c r="E46" s="70">
        <v>0</v>
      </c>
      <c r="F46" s="71">
        <v>81.8</v>
      </c>
      <c r="G46" s="71">
        <v>0</v>
      </c>
      <c r="H46" s="70">
        <v>0</v>
      </c>
      <c r="I46" s="72">
        <f>G46+(G46*$I$16/100)</f>
        <v>0</v>
      </c>
      <c r="J46" s="74">
        <v>6.14</v>
      </c>
    </row>
    <row r="47" spans="2:10" s="26" customFormat="1" ht="15" customHeight="1">
      <c r="B47" s="69" t="s">
        <v>58</v>
      </c>
      <c r="C47" s="53" t="s">
        <v>34</v>
      </c>
      <c r="D47" s="54" t="s">
        <v>7</v>
      </c>
      <c r="E47" s="70">
        <v>0</v>
      </c>
      <c r="F47" s="71">
        <v>209.5</v>
      </c>
      <c r="G47" s="71">
        <v>0</v>
      </c>
      <c r="H47" s="70">
        <v>0</v>
      </c>
      <c r="I47" s="72">
        <f>G47+(G47*$I$16/100)</f>
        <v>0</v>
      </c>
      <c r="J47" s="73">
        <v>0</v>
      </c>
    </row>
    <row r="48" spans="2:10" s="26" customFormat="1" ht="15" customHeight="1">
      <c r="B48" s="69" t="s">
        <v>62</v>
      </c>
      <c r="C48" s="53" t="s">
        <v>88</v>
      </c>
      <c r="D48" s="54" t="s">
        <v>7</v>
      </c>
      <c r="E48" s="70">
        <v>0</v>
      </c>
      <c r="F48" s="71">
        <v>0</v>
      </c>
      <c r="G48" s="71">
        <v>0</v>
      </c>
      <c r="H48" s="70">
        <v>0</v>
      </c>
      <c r="I48" s="72">
        <f>G48+(G48*$I$16/100)</f>
        <v>0</v>
      </c>
      <c r="J48" s="73">
        <v>209569.52</v>
      </c>
    </row>
    <row r="49" spans="2:10" s="26" customFormat="1" ht="50.25" customHeight="1">
      <c r="B49" s="69" t="s">
        <v>63</v>
      </c>
      <c r="C49" s="53" t="s">
        <v>101</v>
      </c>
      <c r="D49" s="54" t="s">
        <v>7</v>
      </c>
      <c r="E49" s="70"/>
      <c r="F49" s="71"/>
      <c r="G49" s="71"/>
      <c r="H49" s="70"/>
      <c r="I49" s="72"/>
      <c r="J49" s="73">
        <f>J50+J51</f>
        <v>1093.45</v>
      </c>
    </row>
    <row r="50" spans="2:10" s="26" customFormat="1" ht="15.75" customHeight="1">
      <c r="B50" s="69" t="s">
        <v>13</v>
      </c>
      <c r="C50" s="53" t="s">
        <v>98</v>
      </c>
      <c r="D50" s="54" t="s">
        <v>7</v>
      </c>
      <c r="E50" s="70"/>
      <c r="F50" s="71"/>
      <c r="G50" s="71"/>
      <c r="H50" s="70"/>
      <c r="I50" s="72"/>
      <c r="J50" s="73">
        <v>69.67</v>
      </c>
    </row>
    <row r="51" spans="2:10" s="26" customFormat="1" ht="15.75" customHeight="1">
      <c r="B51" s="69" t="s">
        <v>13</v>
      </c>
      <c r="C51" s="53" t="s">
        <v>100</v>
      </c>
      <c r="D51" s="54" t="s">
        <v>7</v>
      </c>
      <c r="E51" s="70"/>
      <c r="F51" s="71"/>
      <c r="G51" s="71"/>
      <c r="H51" s="70"/>
      <c r="I51" s="72"/>
      <c r="J51" s="73">
        <v>1023.78</v>
      </c>
    </row>
    <row r="52" spans="2:10" s="26" customFormat="1" ht="16.5" customHeight="1">
      <c r="B52" s="69" t="s">
        <v>95</v>
      </c>
      <c r="C52" s="53" t="s">
        <v>86</v>
      </c>
      <c r="D52" s="54" t="s">
        <v>7</v>
      </c>
      <c r="E52" s="70">
        <v>135.3</v>
      </c>
      <c r="F52" s="71">
        <v>0</v>
      </c>
      <c r="G52" s="71">
        <v>126.8</v>
      </c>
      <c r="H52" s="70">
        <v>144.88</v>
      </c>
      <c r="I52" s="72">
        <v>151.25</v>
      </c>
      <c r="J52" s="75">
        <v>17011.803</v>
      </c>
    </row>
    <row r="53" spans="2:10" s="26" customFormat="1" ht="18" customHeight="1">
      <c r="B53" s="97" t="s">
        <v>104</v>
      </c>
      <c r="C53" s="76" t="s">
        <v>35</v>
      </c>
      <c r="D53" s="65" t="s">
        <v>7</v>
      </c>
      <c r="E53" s="77" t="e">
        <f>E41+E42+#REF!+E43+E47+E48+E52</f>
        <v>#REF!</v>
      </c>
      <c r="F53" s="66" t="e">
        <f>F41+F42+#REF!+F43+F47+F48+F52</f>
        <v>#REF!</v>
      </c>
      <c r="G53" s="66" t="e">
        <f>G41+G42+#REF!+G43+G47+G48+G52</f>
        <v>#REF!</v>
      </c>
      <c r="H53" s="77" t="e">
        <f>H41+H42+#REF!+H43+H47+H48+H52+#REF!+#REF!+#REF!</f>
        <v>#REF!</v>
      </c>
      <c r="I53" s="77" t="e">
        <f>I41+I42+#REF!+I43+I47+I48+I52+#REF!+#REF!+#REF!</f>
        <v>#REF!</v>
      </c>
      <c r="J53" s="66">
        <f>J41+J42+J43+J47+J48+J49+J52</f>
        <v>297313.493</v>
      </c>
    </row>
    <row r="54" spans="2:7" s="26" customFormat="1" ht="16.5" customHeight="1">
      <c r="B54" s="68"/>
      <c r="C54" s="43"/>
      <c r="D54" s="25"/>
      <c r="E54" s="25"/>
      <c r="F54" s="12"/>
      <c r="G54" s="12"/>
    </row>
    <row r="55" spans="2:7" s="26" customFormat="1" ht="21.75" customHeight="1" hidden="1" thickBot="1">
      <c r="B55" s="48" t="s">
        <v>36</v>
      </c>
      <c r="C55" s="31"/>
      <c r="D55" s="31"/>
      <c r="E55" s="31"/>
      <c r="F55" s="31"/>
      <c r="G55" s="31"/>
    </row>
    <row r="56" spans="2:8" s="26" customFormat="1" ht="12.75" customHeight="1" hidden="1">
      <c r="B56" s="13" t="s">
        <v>37</v>
      </c>
      <c r="C56" s="14" t="s">
        <v>38</v>
      </c>
      <c r="D56" s="15" t="s">
        <v>7</v>
      </c>
      <c r="E56" s="15"/>
      <c r="F56" s="7" t="s">
        <v>8</v>
      </c>
      <c r="G56" s="7" t="s">
        <v>8</v>
      </c>
      <c r="H56" s="8" t="s">
        <v>8</v>
      </c>
    </row>
    <row r="57" spans="2:8" s="26" customFormat="1" ht="12.75" customHeight="1" hidden="1">
      <c r="B57" s="16"/>
      <c r="C57" s="9" t="s">
        <v>39</v>
      </c>
      <c r="D57" s="17" t="s">
        <v>7</v>
      </c>
      <c r="E57" s="17"/>
      <c r="F57" s="10" t="e">
        <f>'[1] НВВ содержание'!H41</f>
        <v>#REF!</v>
      </c>
      <c r="G57" s="10" t="s">
        <v>8</v>
      </c>
      <c r="H57" s="11" t="s">
        <v>8</v>
      </c>
    </row>
    <row r="58" spans="2:8" s="26" customFormat="1" ht="25.5" customHeight="1" hidden="1">
      <c r="B58" s="18" t="s">
        <v>40</v>
      </c>
      <c r="C58" s="9" t="s">
        <v>41</v>
      </c>
      <c r="D58" s="27" t="s">
        <v>7</v>
      </c>
      <c r="E58" s="27"/>
      <c r="F58" s="10" t="e">
        <f>'[1] НВВ содержание'!H42</f>
        <v>#REF!</v>
      </c>
      <c r="G58" s="10" t="s">
        <v>8</v>
      </c>
      <c r="H58" s="11" t="s">
        <v>8</v>
      </c>
    </row>
    <row r="59" spans="2:8" s="26" customFormat="1" ht="25.5" customHeight="1" hidden="1">
      <c r="B59" s="18" t="s">
        <v>42</v>
      </c>
      <c r="C59" s="9" t="s">
        <v>43</v>
      </c>
      <c r="D59" s="27" t="s">
        <v>7</v>
      </c>
      <c r="E59" s="27"/>
      <c r="F59" s="10" t="e">
        <f>'[1] НВВ содержание'!H43</f>
        <v>#REF!</v>
      </c>
      <c r="G59" s="10" t="s">
        <v>8</v>
      </c>
      <c r="H59" s="11" t="s">
        <v>8</v>
      </c>
    </row>
    <row r="60" spans="2:8" s="26" customFormat="1" ht="26.25" customHeight="1" hidden="1" thickBot="1">
      <c r="B60" s="19" t="s">
        <v>21</v>
      </c>
      <c r="C60" s="20" t="s">
        <v>44</v>
      </c>
      <c r="D60" s="28" t="s">
        <v>7</v>
      </c>
      <c r="E60" s="32"/>
      <c r="F60" s="10" t="e">
        <f>'[1] НВВ содержание'!H44</f>
        <v>#REF!</v>
      </c>
      <c r="G60" s="21" t="s">
        <v>8</v>
      </c>
      <c r="H60" s="22" t="s">
        <v>8</v>
      </c>
    </row>
    <row r="61" spans="2:8" s="26" customFormat="1" ht="13.5" customHeight="1" hidden="1" thickBot="1">
      <c r="B61" s="35"/>
      <c r="C61" s="36" t="s">
        <v>45</v>
      </c>
      <c r="D61" s="49" t="s">
        <v>7</v>
      </c>
      <c r="E61" s="25"/>
      <c r="F61" s="50" t="e">
        <f>SUM(F57:F60)</f>
        <v>#REF!</v>
      </c>
      <c r="G61" s="37" t="s">
        <v>8</v>
      </c>
      <c r="H61" s="51" t="s">
        <v>8</v>
      </c>
    </row>
    <row r="62" spans="2:10" s="26" customFormat="1" ht="14.25" customHeight="1">
      <c r="B62" s="104" t="s">
        <v>36</v>
      </c>
      <c r="C62" s="104"/>
      <c r="D62" s="104"/>
      <c r="E62" s="104"/>
      <c r="F62" s="104"/>
      <c r="G62" s="104"/>
      <c r="H62" s="104"/>
      <c r="I62" s="104"/>
      <c r="J62" s="104"/>
    </row>
    <row r="63" spans="2:10" ht="15" customHeight="1" hidden="1">
      <c r="B63" s="52" t="s">
        <v>60</v>
      </c>
      <c r="C63" s="53" t="s">
        <v>46</v>
      </c>
      <c r="D63" s="54" t="s">
        <v>7</v>
      </c>
      <c r="E63" s="55" t="e">
        <f aca="true" t="shared" si="0" ref="E63:J63">E38</f>
        <v>#REF!</v>
      </c>
      <c r="F63" s="55" t="e">
        <f t="shared" si="0"/>
        <v>#REF!</v>
      </c>
      <c r="G63" s="56" t="e">
        <f t="shared" si="0"/>
        <v>#REF!</v>
      </c>
      <c r="H63" s="55" t="e">
        <f t="shared" si="0"/>
        <v>#REF!</v>
      </c>
      <c r="I63" s="57" t="e">
        <f t="shared" si="0"/>
        <v>#REF!</v>
      </c>
      <c r="J63" s="58">
        <f t="shared" si="0"/>
        <v>74249.2405125469</v>
      </c>
    </row>
    <row r="64" spans="2:10" ht="15" customHeight="1" hidden="1">
      <c r="B64" s="52" t="s">
        <v>61</v>
      </c>
      <c r="C64" s="53" t="s">
        <v>47</v>
      </c>
      <c r="D64" s="54" t="s">
        <v>7</v>
      </c>
      <c r="E64" s="59" t="e">
        <f aca="true" t="shared" si="1" ref="E64:J64">E53</f>
        <v>#REF!</v>
      </c>
      <c r="F64" s="55" t="e">
        <f t="shared" si="1"/>
        <v>#REF!</v>
      </c>
      <c r="G64" s="56" t="e">
        <f t="shared" si="1"/>
        <v>#REF!</v>
      </c>
      <c r="H64" s="55" t="e">
        <f t="shared" si="1"/>
        <v>#REF!</v>
      </c>
      <c r="I64" s="57" t="e">
        <f t="shared" si="1"/>
        <v>#REF!</v>
      </c>
      <c r="J64" s="58">
        <f t="shared" si="1"/>
        <v>297313.493</v>
      </c>
    </row>
    <row r="65" spans="2:10" ht="31.5" hidden="1">
      <c r="B65" s="52">
        <v>3</v>
      </c>
      <c r="C65" s="53" t="s">
        <v>48</v>
      </c>
      <c r="D65" s="54" t="s">
        <v>7</v>
      </c>
      <c r="E65" s="60"/>
      <c r="F65" s="55">
        <v>0</v>
      </c>
      <c r="G65" s="56">
        <v>0</v>
      </c>
      <c r="H65" s="55">
        <v>0</v>
      </c>
      <c r="I65" s="57">
        <v>0</v>
      </c>
      <c r="J65" s="58">
        <v>0</v>
      </c>
    </row>
    <row r="66" spans="2:10" ht="21" customHeight="1">
      <c r="B66" s="52" t="s">
        <v>60</v>
      </c>
      <c r="C66" s="53" t="s">
        <v>36</v>
      </c>
      <c r="D66" s="54" t="s">
        <v>7</v>
      </c>
      <c r="E66" s="59">
        <v>0</v>
      </c>
      <c r="F66" s="59">
        <v>0</v>
      </c>
      <c r="G66" s="56">
        <v>0</v>
      </c>
      <c r="H66" s="55">
        <v>-240.624</v>
      </c>
      <c r="I66" s="57">
        <v>0</v>
      </c>
      <c r="J66" s="61">
        <f>J67+J68+J69+J70+J71</f>
        <v>20012.467577404634</v>
      </c>
    </row>
    <row r="67" spans="2:10" ht="18.75" customHeight="1">
      <c r="B67" s="52" t="s">
        <v>65</v>
      </c>
      <c r="C67" s="62" t="s">
        <v>38</v>
      </c>
      <c r="D67" s="54" t="s">
        <v>7</v>
      </c>
      <c r="E67" s="59">
        <v>0</v>
      </c>
      <c r="F67" s="59">
        <v>0</v>
      </c>
      <c r="G67" s="56">
        <v>0</v>
      </c>
      <c r="H67" s="55">
        <v>0</v>
      </c>
      <c r="I67" s="57">
        <v>0</v>
      </c>
      <c r="J67" s="61">
        <v>6906.288981629958</v>
      </c>
    </row>
    <row r="68" spans="2:10" ht="19.5" customHeight="1">
      <c r="B68" s="52" t="s">
        <v>66</v>
      </c>
      <c r="C68" s="62" t="s">
        <v>39</v>
      </c>
      <c r="D68" s="54" t="s">
        <v>7</v>
      </c>
      <c r="E68" s="59">
        <v>0</v>
      </c>
      <c r="F68" s="59">
        <v>0</v>
      </c>
      <c r="G68" s="56">
        <v>0</v>
      </c>
      <c r="H68" s="55">
        <v>0</v>
      </c>
      <c r="I68" s="57">
        <v>0</v>
      </c>
      <c r="J68" s="61">
        <v>436.34999999999127</v>
      </c>
    </row>
    <row r="69" spans="2:10" ht="31.5" customHeight="1">
      <c r="B69" s="52" t="s">
        <v>67</v>
      </c>
      <c r="C69" s="62" t="s">
        <v>41</v>
      </c>
      <c r="D69" s="54" t="s">
        <v>7</v>
      </c>
      <c r="E69" s="59">
        <v>0</v>
      </c>
      <c r="F69" s="59">
        <v>0</v>
      </c>
      <c r="G69" s="56">
        <v>0</v>
      </c>
      <c r="H69" s="55">
        <v>0</v>
      </c>
      <c r="I69" s="57">
        <v>0</v>
      </c>
      <c r="J69" s="61">
        <v>10990.083645774685</v>
      </c>
    </row>
    <row r="70" spans="2:10" ht="35.25" customHeight="1">
      <c r="B70" s="52" t="s">
        <v>68</v>
      </c>
      <c r="C70" s="62" t="s">
        <v>43</v>
      </c>
      <c r="D70" s="54" t="s">
        <v>7</v>
      </c>
      <c r="E70" s="59">
        <v>0</v>
      </c>
      <c r="F70" s="59">
        <v>0</v>
      </c>
      <c r="G70" s="56">
        <v>0</v>
      </c>
      <c r="H70" s="55">
        <v>0</v>
      </c>
      <c r="I70" s="57">
        <v>0</v>
      </c>
      <c r="J70" s="61">
        <v>0</v>
      </c>
    </row>
    <row r="71" spans="2:10" ht="35.25" customHeight="1">
      <c r="B71" s="52" t="s">
        <v>69</v>
      </c>
      <c r="C71" s="62" t="s">
        <v>44</v>
      </c>
      <c r="D71" s="54" t="s">
        <v>7</v>
      </c>
      <c r="E71" s="59">
        <v>0</v>
      </c>
      <c r="F71" s="59">
        <v>0</v>
      </c>
      <c r="G71" s="56">
        <v>0</v>
      </c>
      <c r="H71" s="55">
        <v>0</v>
      </c>
      <c r="I71" s="57">
        <v>0</v>
      </c>
      <c r="J71" s="61">
        <v>1679.7449499999998</v>
      </c>
    </row>
    <row r="72" spans="2:10" ht="35.25" customHeight="1">
      <c r="B72" s="52" t="s">
        <v>61</v>
      </c>
      <c r="C72" s="62" t="s">
        <v>87</v>
      </c>
      <c r="D72" s="54" t="s">
        <v>7</v>
      </c>
      <c r="E72" s="59">
        <v>0</v>
      </c>
      <c r="F72" s="59">
        <v>0</v>
      </c>
      <c r="G72" s="56">
        <v>0</v>
      </c>
      <c r="H72" s="55">
        <v>-32</v>
      </c>
      <c r="I72" s="56">
        <v>0</v>
      </c>
      <c r="J72" s="63">
        <v>-25006.97</v>
      </c>
    </row>
    <row r="73" spans="2:10" ht="35.25" customHeight="1">
      <c r="B73" s="52" t="s">
        <v>64</v>
      </c>
      <c r="C73" s="62" t="s">
        <v>99</v>
      </c>
      <c r="D73" s="54" t="s">
        <v>7</v>
      </c>
      <c r="E73" s="59">
        <v>0</v>
      </c>
      <c r="F73" s="59">
        <v>0</v>
      </c>
      <c r="G73" s="56">
        <v>0</v>
      </c>
      <c r="H73" s="55">
        <v>-32</v>
      </c>
      <c r="I73" s="56">
        <v>0</v>
      </c>
      <c r="J73" s="63">
        <v>-20343.48</v>
      </c>
    </row>
    <row r="74" spans="2:10" ht="24" customHeight="1">
      <c r="B74" s="98" t="s">
        <v>58</v>
      </c>
      <c r="C74" s="64" t="s">
        <v>96</v>
      </c>
      <c r="D74" s="65" t="s">
        <v>7</v>
      </c>
      <c r="E74" s="66" t="e">
        <f>#REF!+#REF!</f>
        <v>#REF!</v>
      </c>
      <c r="F74" s="66" t="e">
        <f>#REF!+#REF!</f>
        <v>#REF!</v>
      </c>
      <c r="G74" s="67" t="e">
        <f>#REF!+#REF!</f>
        <v>#REF!</v>
      </c>
      <c r="H74" s="67" t="e">
        <f>#REF!+#REF!</f>
        <v>#REF!</v>
      </c>
      <c r="I74" s="66" t="e">
        <f>#REF!+#REF!</f>
        <v>#REF!</v>
      </c>
      <c r="J74" s="67">
        <f>J66+J72+J73</f>
        <v>-25337.982422595367</v>
      </c>
    </row>
    <row r="75" spans="2:10" ht="36" customHeight="1">
      <c r="B75" s="98" t="s">
        <v>62</v>
      </c>
      <c r="C75" s="64" t="s">
        <v>49</v>
      </c>
      <c r="D75" s="65" t="s">
        <v>7</v>
      </c>
      <c r="E75" s="66" t="e">
        <f>#REF!+#REF!</f>
        <v>#REF!</v>
      </c>
      <c r="F75" s="66" t="e">
        <f>#REF!+#REF!</f>
        <v>#REF!</v>
      </c>
      <c r="G75" s="67" t="e">
        <f>#REF!+#REF!</f>
        <v>#REF!</v>
      </c>
      <c r="H75" s="67" t="e">
        <f>#REF!+#REF!</f>
        <v>#REF!</v>
      </c>
      <c r="I75" s="66" t="e">
        <f>#REF!+#REF!</f>
        <v>#REF!</v>
      </c>
      <c r="J75" s="67">
        <f>J38+J53+J74</f>
        <v>346224.75108995155</v>
      </c>
    </row>
    <row r="76" spans="2:7" s="26" customFormat="1" ht="13.5" customHeight="1">
      <c r="B76" s="23"/>
      <c r="C76" s="24"/>
      <c r="D76" s="25"/>
      <c r="E76" s="25"/>
      <c r="F76" s="12"/>
      <c r="G76" s="12"/>
    </row>
    <row r="77" spans="2:8" ht="12.75">
      <c r="B77" s="26"/>
      <c r="C77" s="26"/>
      <c r="D77" s="29"/>
      <c r="E77" s="29"/>
      <c r="F77" s="30"/>
      <c r="G77" s="30"/>
      <c r="H77" s="30"/>
    </row>
    <row r="83" spans="6:10" ht="12.75">
      <c r="F83" s="3">
        <f>8609.01-8368.38</f>
        <v>240.63000000000102</v>
      </c>
      <c r="H83" s="33" t="e">
        <f>8609.01-H75</f>
        <v>#REF!</v>
      </c>
      <c r="J83" s="33"/>
    </row>
    <row r="84" ht="12.75">
      <c r="H84" s="33" t="e">
        <f>H83-F83</f>
        <v>#REF!</v>
      </c>
    </row>
  </sheetData>
  <sheetProtection/>
  <mergeCells count="11">
    <mergeCell ref="B40:J40"/>
    <mergeCell ref="B62:J62"/>
    <mergeCell ref="B6:J6"/>
    <mergeCell ref="G8:H9"/>
    <mergeCell ref="B21:J21"/>
    <mergeCell ref="D1:J4"/>
    <mergeCell ref="B8:B10"/>
    <mergeCell ref="C8:C10"/>
    <mergeCell ref="D8:D10"/>
    <mergeCell ref="E8:F9"/>
    <mergeCell ref="J8:J10"/>
  </mergeCells>
  <printOptions/>
  <pageMargins left="0.73" right="0.17" top="0.17" bottom="0.17" header="0.17" footer="0.1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odanilova</dc:creator>
  <cp:keywords/>
  <dc:description/>
  <cp:lastModifiedBy>Базанова</cp:lastModifiedBy>
  <cp:lastPrinted>2017-12-20T13:28:57Z</cp:lastPrinted>
  <dcterms:created xsi:type="dcterms:W3CDTF">2014-09-18T07:44:10Z</dcterms:created>
  <dcterms:modified xsi:type="dcterms:W3CDTF">2017-12-20T13:30:11Z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