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1" sheetId="1" r:id="rId1"/>
    <sheet name="прил 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<sst xmlns="http://schemas.openxmlformats.org/spreadsheetml/2006/main" count="103" uniqueCount="73">
  <si>
    <t>Калькуляция расходов по Петрозаводской ТЭЦ</t>
  </si>
  <si>
    <t>Наименования показателей</t>
  </si>
  <si>
    <t>Предложено ТСО на 2018 год</t>
  </si>
  <si>
    <t>Установлено ГК РК на 2018 год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</si>
  <si>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</si>
  <si>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</si>
  <si>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</si>
  <si>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</si>
  <si>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</si>
  <si>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</si>
  <si>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Отпуск тепла в сеть</t>
  </si>
  <si>
    <t xml:space="preserve">     в т.ч. потери тепловой энергии в сетях энергоснабжающей организации</t>
  </si>
  <si>
    <t xml:space="preserve">Реализация тепловой энергии </t>
  </si>
  <si>
    <t>Расходы на покупку энергетических ресурсов (тыс. руб.):</t>
  </si>
  <si>
    <t>Топливо</t>
  </si>
  <si>
    <t>Холодная вода</t>
  </si>
  <si>
    <t>Электрическая энергия</t>
  </si>
  <si>
    <t>Тепловая энергия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</si>
  <si>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</si>
  <si>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</si>
  <si>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</si>
  <si>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</si>
  <si>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</si>
  <si>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</si>
  <si>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</si>
  <si>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Расходы на служебные командировки</t>
  </si>
  <si>
    <t>Арендная плата, лизинг</t>
  </si>
  <si>
    <t>Неподконтрольные расходы (тыс. руб.):</t>
  </si>
  <si>
    <t>Расходы на уплату налогов, сборов и других обязательных платежей</t>
  </si>
  <si>
    <t>Страховые взносы</t>
  </si>
  <si>
    <t>Амортизация</t>
  </si>
  <si>
    <t>Прибыль (тыс. руб.)</t>
  </si>
  <si>
    <t>Результат деятельности регулируемой организации до перехода к регулированию цен (тыс. руб.):</t>
  </si>
  <si>
    <t>Недополученный доход</t>
  </si>
  <si>
    <t>Избыток средств</t>
  </si>
  <si>
    <t>Необходимая валовая выручка (тыс. руб.)</t>
  </si>
  <si>
    <t>в т.ч. на производство в режиме комбинированной выработки (тыс. руб.)</t>
  </si>
  <si>
    <t>741,03
767,67</t>
  </si>
  <si>
    <t>Приложение № 1 к протоколу заседания Правления
Госкомитета РК по ценам и тарифам от 19.12.2017 № 149</t>
  </si>
  <si>
    <t xml:space="preserve">Тарифное меню </t>
  </si>
  <si>
    <t>тарифы</t>
  </si>
  <si>
    <t>ед. изм.</t>
  </si>
  <si>
    <t>I полугодие</t>
  </si>
  <si>
    <t>II полугодие</t>
  </si>
  <si>
    <t>год</t>
  </si>
  <si>
    <t>среднегодовые значения</t>
  </si>
  <si>
    <t>доля</t>
  </si>
  <si>
    <t>коэф.</t>
  </si>
  <si>
    <t>в т.ч. Пр-во</t>
  </si>
  <si>
    <t>передача</t>
  </si>
  <si>
    <t>на тепловую энергию</t>
  </si>
  <si>
    <t>объем</t>
  </si>
  <si>
    <t>тыс. Гкал</t>
  </si>
  <si>
    <t>НВВ</t>
  </si>
  <si>
    <t>млн. руб.</t>
  </si>
  <si>
    <t>тариф</t>
  </si>
  <si>
    <t>руб./Гкал</t>
  </si>
  <si>
    <t>темп роста</t>
  </si>
  <si>
    <t>%</t>
  </si>
  <si>
    <t>теплоноситель (подпиточная)</t>
  </si>
  <si>
    <t>тыс. куб.м</t>
  </si>
  <si>
    <t>прирост тарифа</t>
  </si>
  <si>
    <t>руб./куб.м</t>
  </si>
  <si>
    <t>химобессоленная</t>
  </si>
  <si>
    <t>итого</t>
  </si>
  <si>
    <t>полезный отпуск тепловой энергии в горячей воде</t>
  </si>
  <si>
    <t>теплоноситель</t>
  </si>
  <si>
    <t>нвв</t>
  </si>
  <si>
    <t>на произв.</t>
  </si>
  <si>
    <t>1 полугодие</t>
  </si>
  <si>
    <t>2 полугодие</t>
  </si>
  <si>
    <t>производство</t>
  </si>
  <si>
    <t>Приложение № 2 к протоколу заседания Правления
Госкомитета РК по ценам и тарифам от 19.12.2017 № 149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</si>
</sst>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11">
    <font>
      <sz val="10"/>
      <name val="Arial"/>
      <family val="0"/>
    </font>
    <font>
      <sz val="11"/>
      <name val="Arial Cyr"/>
      <family val="0"/>
    </font>
    <font>
      <sz val="10"/>
      <name val="Arial Cyr"/>
      <family val="0"/>
    </font>
    <font>
      <sz val="11"/>
      <color indexed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 wrapText="1"/>
      <protection/>
    </xf>
    <xf numFmtId="0" fontId="3" fillId="0" borderId="0" xfId="17" applyFont="1" applyAlignment="1">
      <alignment horizontal="right" wrapText="1"/>
      <protection/>
    </xf>
    <xf numFmtId="0" fontId="3" fillId="0" borderId="0" xfId="17" applyFont="1">
      <alignment/>
      <protection/>
    </xf>
    <xf numFmtId="0" fontId="0" fillId="0" borderId="0" xfId="0" applyAlignment="1">
      <alignment wrapText="1"/>
    </xf>
    <xf numFmtId="0" fontId="1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>
      <alignment/>
      <protection/>
    </xf>
    <xf numFmtId="0" fontId="1" fillId="0" borderId="1" xfId="17" applyFont="1" applyBorder="1">
      <alignment/>
      <protection/>
    </xf>
    <xf numFmtId="180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wrapText="1"/>
      <protection/>
    </xf>
    <xf numFmtId="180" fontId="3" fillId="0" borderId="1" xfId="17" applyNumberFormat="1" applyFont="1" applyFill="1" applyBorder="1" applyAlignment="1">
      <alignment horizontal="center" vertical="center"/>
      <protection/>
    </xf>
    <xf numFmtId="2" fontId="1" fillId="0" borderId="1" xfId="17" applyNumberFormat="1" applyFont="1" applyBorder="1" applyAlignment="1">
      <alignment horizontal="center" vertical="center" wrapText="1"/>
      <protection/>
    </xf>
    <xf numFmtId="2" fontId="1" fillId="0" borderId="1" xfId="17" applyNumberFormat="1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2" fontId="3" fillId="0" borderId="1" xfId="17" applyNumberFormat="1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wrapText="1"/>
      <protection/>
    </xf>
    <xf numFmtId="4" fontId="5" fillId="0" borderId="1" xfId="17" applyNumberFormat="1" applyFont="1" applyBorder="1" applyAlignment="1">
      <alignment horizontal="center" vertical="center" wrapText="1"/>
      <protection/>
    </xf>
    <xf numFmtId="4" fontId="1" fillId="0" borderId="1" xfId="17" applyNumberFormat="1" applyFont="1" applyBorder="1" applyAlignment="1">
      <alignment horizontal="center" vertical="center" wrapText="1"/>
      <protection/>
    </xf>
    <xf numFmtId="0" fontId="4" fillId="0" borderId="0" xfId="17" applyFont="1">
      <alignment/>
      <protection/>
    </xf>
    <xf numFmtId="4" fontId="1" fillId="0" borderId="1" xfId="17" applyNumberFormat="1" applyFont="1" applyBorder="1" applyAlignment="1">
      <alignment horizontal="center" vertical="center"/>
      <protection/>
    </xf>
    <xf numFmtId="4" fontId="5" fillId="0" borderId="1" xfId="17" applyNumberFormat="1" applyFont="1" applyBorder="1" applyAlignment="1">
      <alignment horizontal="center" vertical="center"/>
      <protection/>
    </xf>
    <xf numFmtId="49" fontId="1" fillId="0" borderId="1" xfId="18" applyNumberFormat="1" applyFont="1" applyFill="1" applyBorder="1" applyAlignment="1" applyProtection="1">
      <alignment horizontal="left" wrapText="1"/>
      <protection/>
    </xf>
    <xf numFmtId="0" fontId="4" fillId="0" borderId="1" xfId="17" applyFont="1" applyBorder="1" applyAlignment="1">
      <alignment horizontal="left" vertical="center"/>
      <protection/>
    </xf>
    <xf numFmtId="2" fontId="4" fillId="0" borderId="0" xfId="17" applyNumberFormat="1" applyFont="1">
      <alignment/>
      <protection/>
    </xf>
    <xf numFmtId="4" fontId="4" fillId="0" borderId="0" xfId="17" applyNumberFormat="1" applyFont="1">
      <alignment/>
      <protection/>
    </xf>
    <xf numFmtId="0" fontId="4" fillId="0" borderId="1" xfId="17" applyFont="1" applyBorder="1" applyAlignment="1">
      <alignment horizontal="left" vertical="center" wrapText="1"/>
      <protection/>
    </xf>
    <xf numFmtId="4" fontId="1" fillId="0" borderId="0" xfId="17" applyNumberFormat="1" applyFo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" fillId="0" borderId="0" xfId="17" applyFont="1" applyAlignment="1">
      <alignment horizontal="center" wrapText="1"/>
      <protection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181" fontId="8" fillId="0" borderId="11" xfId="0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183" fontId="2" fillId="0" borderId="32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4" xfId="0" applyFont="1" applyBorder="1" applyAlignment="1">
      <alignment vertical="center" wrapText="1"/>
    </xf>
    <xf numFmtId="2" fontId="2" fillId="0" borderId="4" xfId="0" applyNumberFormat="1" applyFont="1" applyBorder="1" applyAlignment="1">
      <alignment/>
    </xf>
    <xf numFmtId="0" fontId="2" fillId="0" borderId="35" xfId="0" applyFont="1" applyBorder="1" applyAlignment="1">
      <alignment vertical="center" wrapText="1"/>
    </xf>
    <xf numFmtId="182" fontId="2" fillId="0" borderId="21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0" borderId="23" xfId="0" applyNumberFormat="1" applyFont="1" applyBorder="1" applyAlignment="1">
      <alignment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8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2" fontId="2" fillId="0" borderId="4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4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182" fontId="2" fillId="0" borderId="44" xfId="0" applyNumberFormat="1" applyFont="1" applyBorder="1" applyAlignment="1">
      <alignment horizontal="center" vertical="center" wrapText="1"/>
    </xf>
    <xf numFmtId="182" fontId="2" fillId="0" borderId="45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расчет тарифа - тепло" xfId="17"/>
    <cellStyle name="Обычный_тарифы на 2002г с 1-0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90;&#1072;&#1085;&#1086;&#1074;&#1083;&#1077;&#1085;&#1086;%20&#1058;&#1069;&#1062;%20&#1058;&#1043;&#1050;-1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Прил №1"/>
      <sheetName val="Прил №2"/>
      <sheetName val="тарифное меню"/>
      <sheetName val="Динамика"/>
      <sheetName val="Динамика (2)"/>
    </sheetNames>
    <sheetDataSet>
      <sheetData sheetId="0">
        <row r="160">
          <cell r="H160">
            <v>1456228.2025636</v>
          </cell>
          <cell r="L160">
            <v>1448389.6827221292</v>
          </cell>
        </row>
        <row r="163">
          <cell r="L163">
            <v>1233644.7106494494</v>
          </cell>
        </row>
        <row r="174">
          <cell r="N174">
            <v>1264802.4533040002</v>
          </cell>
        </row>
      </sheetData>
      <sheetData sheetId="3">
        <row r="9">
          <cell r="L9">
            <v>0</v>
          </cell>
          <cell r="Q9">
            <v>88310.18722236692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Zeros="0" workbookViewId="0" topLeftCell="A21">
      <selection activeCell="A1" sqref="A1:G37"/>
    </sheetView>
  </sheetViews>
  <sheetFormatPr defaultColWidth="9.140625" defaultRowHeight="12.75"/>
  <cols>
    <col min="1" max="1" width="57.7109375" style="1" customWidth="1"/>
    <col min="2" max="2" width="14.421875" style="4" bestFit="1" customWidth="1"/>
    <col min="3" max="3" width="10.421875" style="4" customWidth="1"/>
    <col min="4" max="4" width="11.421875" style="4" customWidth="1"/>
    <col min="5" max="5" width="17.8515625" style="1" bestFit="1" customWidth="1"/>
    <col min="6" max="6" width="11.140625" style="1" customWidth="1"/>
    <col min="7" max="7" width="10.7109375" style="1" customWidth="1"/>
    <col min="8" max="8" width="9.140625" style="1" customWidth="1"/>
    <col min="9" max="9" width="11.8515625" style="1" bestFit="1" customWidth="1"/>
    <col min="10" max="16384" width="9.140625" style="1" customWidth="1"/>
  </cols>
  <sheetData>
    <row r="1" spans="2:7" ht="66.75" customHeight="1">
      <c r="B1" s="3"/>
      <c r="C1" s="3"/>
      <c r="D1" s="3"/>
      <c r="E1" s="2" t="s">
        <v>38</v>
      </c>
      <c r="F1" s="39"/>
      <c r="G1" s="39"/>
    </row>
    <row r="2" ht="13.5" customHeight="1"/>
    <row r="3" spans="1:7" ht="26.25" customHeight="1">
      <c r="A3" s="40" t="s">
        <v>0</v>
      </c>
      <c r="B3" s="41"/>
      <c r="C3" s="41"/>
      <c r="D3" s="41"/>
      <c r="E3" s="41"/>
      <c r="F3" s="41"/>
      <c r="G3" s="41"/>
    </row>
    <row r="4" ht="14.25" hidden="1"/>
    <row r="5" spans="1:7" ht="42" customHeight="1">
      <c r="A5" s="6" t="s">
        <v>1</v>
      </c>
      <c r="B5" s="7" t="s">
        <v>2</v>
      </c>
      <c r="C5" s="8"/>
      <c r="D5" s="9"/>
      <c r="E5" s="10" t="s">
        <v>3</v>
      </c>
      <c r="F5" s="11"/>
      <c r="G5" s="12"/>
    </row>
    <row r="6" spans="1:7" ht="45.75" customHeight="1">
      <c r="A6" s="6"/>
      <c r="B6" s="13" t="s">
        <v>4</v>
      </c>
      <c r="C6" s="14" t="s">
        <v>5</v>
      </c>
      <c r="D6" s="14" t="s">
        <v>6</v>
      </c>
      <c r="E6" s="13" t="s">
        <v>4</v>
      </c>
      <c r="F6" s="14" t="s">
        <v>5</v>
      </c>
      <c r="G6" s="14" t="s">
        <v>6</v>
      </c>
    </row>
    <row r="7" spans="1:7" ht="15">
      <c r="A7" s="15" t="s">
        <v>7</v>
      </c>
      <c r="B7" s="15"/>
      <c r="C7" s="15"/>
      <c r="D7" s="15"/>
      <c r="E7" s="15"/>
      <c r="F7" s="15"/>
      <c r="G7" s="15"/>
    </row>
    <row r="8" spans="1:7" ht="14.25">
      <c r="A8" s="16" t="s">
        <v>8</v>
      </c>
      <c r="B8" s="17">
        <v>1643920</v>
      </c>
      <c r="C8" s="17"/>
      <c r="D8" s="17"/>
      <c r="E8" s="17">
        <v>1643920</v>
      </c>
      <c r="F8" s="18"/>
      <c r="G8" s="18"/>
    </row>
    <row r="9" spans="1:7" ht="14.25" customHeight="1">
      <c r="A9" s="19" t="s">
        <v>9</v>
      </c>
      <c r="B9" s="17">
        <v>2759</v>
      </c>
      <c r="C9" s="17"/>
      <c r="D9" s="17"/>
      <c r="E9" s="17">
        <v>2750</v>
      </c>
      <c r="F9" s="18"/>
      <c r="G9" s="18"/>
    </row>
    <row r="10" spans="1:7" ht="14.25">
      <c r="A10" s="16" t="s">
        <v>10</v>
      </c>
      <c r="B10" s="17">
        <v>1641161</v>
      </c>
      <c r="C10" s="17"/>
      <c r="D10" s="17"/>
      <c r="E10" s="17">
        <v>1641170</v>
      </c>
      <c r="F10" s="18"/>
      <c r="G10" s="18"/>
    </row>
    <row r="11" spans="1:7" ht="30" customHeight="1">
      <c r="A11" s="19" t="s">
        <v>11</v>
      </c>
      <c r="B11" s="17">
        <v>52499</v>
      </c>
      <c r="C11" s="17"/>
      <c r="D11" s="17"/>
      <c r="E11" s="17">
        <v>52499</v>
      </c>
      <c r="F11" s="18"/>
      <c r="G11" s="18"/>
    </row>
    <row r="12" spans="1:7" ht="14.25">
      <c r="A12" s="16" t="s">
        <v>12</v>
      </c>
      <c r="B12" s="17">
        <v>1588662</v>
      </c>
      <c r="C12" s="20"/>
      <c r="D12" s="20"/>
      <c r="E12" s="17">
        <v>1588671</v>
      </c>
      <c r="F12" s="18"/>
      <c r="G12" s="18"/>
    </row>
    <row r="13" spans="1:7" ht="14.25">
      <c r="A13" s="19"/>
      <c r="B13" s="24"/>
      <c r="C13" s="25"/>
      <c r="D13" s="25"/>
      <c r="E13" s="22"/>
      <c r="F13" s="23"/>
      <c r="G13" s="23"/>
    </row>
    <row r="14" spans="1:7" s="29" customFormat="1" ht="36" customHeight="1">
      <c r="A14" s="26" t="s">
        <v>13</v>
      </c>
      <c r="B14" s="27">
        <v>1392936.98</v>
      </c>
      <c r="C14" s="28">
        <v>876.7988281963062</v>
      </c>
      <c r="D14" s="28">
        <v>76.3267505884289</v>
      </c>
      <c r="E14" s="27">
        <v>1174171.6306301292</v>
      </c>
      <c r="F14" s="28">
        <v>739.090491757028</v>
      </c>
      <c r="G14" s="28">
        <v>81.06738432597575</v>
      </c>
    </row>
    <row r="15" spans="1:7" ht="17.25" customHeight="1">
      <c r="A15" s="19" t="s">
        <v>14</v>
      </c>
      <c r="B15" s="28">
        <v>1155998.24</v>
      </c>
      <c r="C15" s="21">
        <v>727.6552469940113</v>
      </c>
      <c r="D15" s="21">
        <v>63.3435615623779</v>
      </c>
      <c r="E15" s="28">
        <v>1036596.9292821693</v>
      </c>
      <c r="F15" s="21">
        <v>652.4931400410591</v>
      </c>
      <c r="G15" s="21">
        <v>71.56892524489477</v>
      </c>
    </row>
    <row r="16" spans="1:7" ht="14.25">
      <c r="A16" s="19" t="s">
        <v>15</v>
      </c>
      <c r="B16" s="28">
        <v>131305.32</v>
      </c>
      <c r="C16" s="21">
        <v>82.6515142931599</v>
      </c>
      <c r="D16" s="21">
        <v>7.194947477504578</v>
      </c>
      <c r="E16" s="28">
        <v>135106.20474699998</v>
      </c>
      <c r="F16" s="21">
        <v>85.04353937788251</v>
      </c>
      <c r="G16" s="21">
        <v>9.328028662361016</v>
      </c>
    </row>
    <row r="17" spans="1:7" ht="14.25">
      <c r="A17" s="19" t="s">
        <v>16</v>
      </c>
      <c r="B17" s="28">
        <v>105633.42</v>
      </c>
      <c r="C17" s="21">
        <v>66.49206690913485</v>
      </c>
      <c r="D17" s="21">
        <v>5.788241548546407</v>
      </c>
      <c r="E17" s="28">
        <v>2468.49660096</v>
      </c>
      <c r="F17" s="21">
        <v>1.5538123380863627</v>
      </c>
      <c r="G17" s="21">
        <v>0.17043041871995826</v>
      </c>
    </row>
    <row r="18" spans="1:7" ht="14.25">
      <c r="A18" s="19" t="s">
        <v>17</v>
      </c>
      <c r="B18" s="28">
        <v>0</v>
      </c>
      <c r="C18" s="21">
        <v>0</v>
      </c>
      <c r="D18" s="21">
        <v>0</v>
      </c>
      <c r="E18" s="28">
        <v>0</v>
      </c>
      <c r="F18" s="21">
        <v>0</v>
      </c>
      <c r="G18" s="21">
        <v>0</v>
      </c>
    </row>
    <row r="19" spans="1:7" ht="15">
      <c r="A19" s="26" t="s">
        <v>18</v>
      </c>
      <c r="B19" s="27">
        <v>254789.31</v>
      </c>
      <c r="C19" s="21">
        <v>160.37977870686152</v>
      </c>
      <c r="D19" s="21">
        <v>13.961318121247926</v>
      </c>
      <c r="E19" s="27">
        <v>206457.56439400002</v>
      </c>
      <c r="F19" s="21">
        <v>129.9561485002244</v>
      </c>
      <c r="G19" s="21">
        <v>14.254283005246213</v>
      </c>
    </row>
    <row r="20" spans="1:7" ht="14.25">
      <c r="A20" s="16" t="s">
        <v>19</v>
      </c>
      <c r="B20" s="30">
        <v>12010.9</v>
      </c>
      <c r="C20" s="21">
        <v>7.560387294465405</v>
      </c>
      <c r="D20" s="21">
        <v>0.6581438943796011</v>
      </c>
      <c r="E20" s="30">
        <v>11833.412879999998</v>
      </c>
      <c r="F20" s="21">
        <v>7.448623963048358</v>
      </c>
      <c r="G20" s="21">
        <v>0.8170047757976343</v>
      </c>
    </row>
    <row r="21" spans="1:7" ht="14.25">
      <c r="A21" s="16" t="s">
        <v>20</v>
      </c>
      <c r="B21" s="30">
        <v>73580.4</v>
      </c>
      <c r="C21" s="21">
        <v>46.31595644636807</v>
      </c>
      <c r="D21" s="21">
        <v>4.031878627414165</v>
      </c>
      <c r="E21" s="30">
        <v>67580.07</v>
      </c>
      <c r="F21" s="21">
        <v>42.53874464882913</v>
      </c>
      <c r="G21" s="21">
        <v>4.665876235253819</v>
      </c>
    </row>
    <row r="22" spans="1:7" ht="14.25">
      <c r="A22" s="19" t="s">
        <v>21</v>
      </c>
      <c r="B22" s="28">
        <v>140932</v>
      </c>
      <c r="C22" s="21">
        <v>88.71112923957394</v>
      </c>
      <c r="D22" s="21">
        <v>7.722446721120477</v>
      </c>
      <c r="E22" s="28">
        <v>99226.12565999999</v>
      </c>
      <c r="F22" s="21">
        <v>62.4585742800114</v>
      </c>
      <c r="G22" s="21">
        <v>6.850789317520728</v>
      </c>
    </row>
    <row r="23" spans="1:7" ht="28.5">
      <c r="A23" s="19" t="s">
        <v>22</v>
      </c>
      <c r="B23" s="28">
        <v>4242.19</v>
      </c>
      <c r="C23" s="21">
        <v>2.6702911003095684</v>
      </c>
      <c r="D23" s="21">
        <v>0.232453142337227</v>
      </c>
      <c r="E23" s="28">
        <v>4179.49392</v>
      </c>
      <c r="F23" s="21">
        <v>2.630811489603574</v>
      </c>
      <c r="G23" s="21">
        <v>0.28856142582740474</v>
      </c>
    </row>
    <row r="24" spans="1:7" ht="14.25" customHeight="1">
      <c r="A24" s="19" t="s">
        <v>23</v>
      </c>
      <c r="B24" s="28">
        <v>22225.14</v>
      </c>
      <c r="C24" s="21">
        <v>13.989848060820993</v>
      </c>
      <c r="D24" s="21">
        <v>1.2178388124729909</v>
      </c>
      <c r="E24" s="28">
        <v>21875.61408</v>
      </c>
      <c r="F24" s="21">
        <v>13.769757287695185</v>
      </c>
      <c r="G24" s="21">
        <v>1.5103403690978094</v>
      </c>
    </row>
    <row r="25" spans="1:7" ht="14.25">
      <c r="A25" s="19" t="s">
        <v>24</v>
      </c>
      <c r="B25" s="28">
        <v>282.65</v>
      </c>
      <c r="C25" s="21">
        <v>0.17791701444360095</v>
      </c>
      <c r="D25" s="21">
        <v>0.015487962746038534</v>
      </c>
      <c r="E25" s="28">
        <v>278.47551599999997</v>
      </c>
      <c r="F25" s="21">
        <v>0.17528834856304418</v>
      </c>
      <c r="G25" s="21">
        <v>0.019226560318810624</v>
      </c>
    </row>
    <row r="26" spans="1:7" ht="14.25">
      <c r="A26" s="19" t="s">
        <v>25</v>
      </c>
      <c r="B26" s="28">
        <v>663.68</v>
      </c>
      <c r="C26" s="21">
        <v>0.41776035431073444</v>
      </c>
      <c r="D26" s="21">
        <v>0.0363667118885224</v>
      </c>
      <c r="E26" s="28">
        <v>653.8723379999999</v>
      </c>
      <c r="F26" s="21">
        <v>0.41158448665582736</v>
      </c>
      <c r="G26" s="21">
        <v>0.04514478015136787</v>
      </c>
    </row>
    <row r="27" spans="1:7" ht="14.25">
      <c r="A27" s="19" t="s">
        <v>26</v>
      </c>
      <c r="B27" s="28">
        <v>852.3</v>
      </c>
      <c r="C27" s="21">
        <v>0.5364891965691884</v>
      </c>
      <c r="D27" s="21">
        <v>0.046702248888903744</v>
      </c>
      <c r="E27" s="28">
        <v>830.5</v>
      </c>
      <c r="F27" s="21">
        <v>0.522763995817888</v>
      </c>
      <c r="G27" s="21">
        <v>0.05733954127863874</v>
      </c>
    </row>
    <row r="28" spans="1:7" ht="15">
      <c r="A28" s="26" t="s">
        <v>27</v>
      </c>
      <c r="B28" s="27">
        <v>170452.65</v>
      </c>
      <c r="C28" s="21">
        <v>107.2932127790556</v>
      </c>
      <c r="D28" s="21">
        <v>9.340047030474246</v>
      </c>
      <c r="E28" s="27">
        <v>131984.48769799998</v>
      </c>
      <c r="F28" s="21">
        <v>83.07855288980537</v>
      </c>
      <c r="G28" s="21">
        <v>9.112498471402118</v>
      </c>
    </row>
    <row r="29" spans="1:7" ht="28.5">
      <c r="A29" s="19" t="s">
        <v>28</v>
      </c>
      <c r="B29" s="28">
        <v>25226.74</v>
      </c>
      <c r="C29" s="21">
        <v>15.879236741358453</v>
      </c>
      <c r="D29" s="21">
        <v>1.382313141071998</v>
      </c>
      <c r="E29" s="28">
        <v>16366.89</v>
      </c>
      <c r="F29" s="21">
        <v>10.302252637581978</v>
      </c>
      <c r="G29" s="21">
        <v>1.1300059780348461</v>
      </c>
    </row>
    <row r="30" spans="1:7" ht="14.25">
      <c r="A30" s="19" t="s">
        <v>29</v>
      </c>
      <c r="B30" s="28">
        <v>42279.6</v>
      </c>
      <c r="C30" s="21">
        <v>26.61333877187218</v>
      </c>
      <c r="D30" s="21">
        <v>2.316734016336143</v>
      </c>
      <c r="E30" s="28">
        <v>29767.837698</v>
      </c>
      <c r="F30" s="21">
        <v>18.737572284003424</v>
      </c>
      <c r="G30" s="21">
        <v>2.055236795256219</v>
      </c>
    </row>
    <row r="31" spans="1:7" ht="14.25">
      <c r="A31" s="19" t="s">
        <v>30</v>
      </c>
      <c r="B31" s="28">
        <v>102946.31</v>
      </c>
      <c r="C31" s="21">
        <v>64.80063726582496</v>
      </c>
      <c r="D31" s="21">
        <v>5.640999873066104</v>
      </c>
      <c r="E31" s="28">
        <v>85849.76</v>
      </c>
      <c r="F31" s="21">
        <v>54.03872796821997</v>
      </c>
      <c r="G31" s="21">
        <v>5.927255698111052</v>
      </c>
    </row>
    <row r="32" spans="1:7" s="29" customFormat="1" ht="15">
      <c r="A32" s="15" t="s">
        <v>31</v>
      </c>
      <c r="B32" s="31">
        <v>6786.71</v>
      </c>
      <c r="C32" s="21">
        <v>4.27196596884674</v>
      </c>
      <c r="D32" s="21">
        <v>0.3718815200713504</v>
      </c>
      <c r="E32" s="31">
        <v>3684.91</v>
      </c>
      <c r="F32" s="21">
        <v>2.31949220449042</v>
      </c>
      <c r="G32" s="21">
        <v>0.2544142673727498</v>
      </c>
    </row>
    <row r="33" spans="1:7" s="29" customFormat="1" ht="30" hidden="1">
      <c r="A33" s="26" t="s">
        <v>32</v>
      </c>
      <c r="B33" s="27"/>
      <c r="C33" s="21">
        <v>0</v>
      </c>
      <c r="D33" s="21">
        <v>0</v>
      </c>
      <c r="E33" s="27"/>
      <c r="F33" s="21">
        <v>0</v>
      </c>
      <c r="G33" s="21">
        <v>0</v>
      </c>
    </row>
    <row r="34" spans="1:7" s="29" customFormat="1" ht="15" hidden="1">
      <c r="A34" s="32" t="s">
        <v>33</v>
      </c>
      <c r="B34" s="28">
        <v>0</v>
      </c>
      <c r="C34" s="21">
        <v>0</v>
      </c>
      <c r="D34" s="21">
        <v>0</v>
      </c>
      <c r="E34" s="28">
        <v>0</v>
      </c>
      <c r="F34" s="21">
        <v>0</v>
      </c>
      <c r="G34" s="21">
        <v>0</v>
      </c>
    </row>
    <row r="35" spans="1:7" s="29" customFormat="1" ht="15" hidden="1">
      <c r="A35" s="32" t="s">
        <v>34</v>
      </c>
      <c r="B35" s="28"/>
      <c r="C35" s="21">
        <v>0</v>
      </c>
      <c r="D35" s="21">
        <v>0</v>
      </c>
      <c r="E35" s="28"/>
      <c r="F35" s="21">
        <v>0</v>
      </c>
      <c r="G35" s="21">
        <v>0</v>
      </c>
    </row>
    <row r="36" spans="1:10" s="29" customFormat="1" ht="25.5" customHeight="1">
      <c r="A36" s="33" t="s">
        <v>35</v>
      </c>
      <c r="B36" s="31">
        <v>1824965.65</v>
      </c>
      <c r="C36" s="21">
        <v>1148.7438171240956</v>
      </c>
      <c r="D36" s="21">
        <v>100</v>
      </c>
      <c r="E36" s="31">
        <v>1448389.6827221292</v>
      </c>
      <c r="F36" s="21">
        <v>911.6989500797391</v>
      </c>
      <c r="G36" s="21">
        <v>100</v>
      </c>
      <c r="I36" s="34"/>
      <c r="J36" s="35"/>
    </row>
    <row r="37" spans="1:7" s="29" customFormat="1" ht="30.75" customHeight="1">
      <c r="A37" s="36" t="s">
        <v>36</v>
      </c>
      <c r="B37" s="31">
        <v>1568621.46</v>
      </c>
      <c r="C37" s="21">
        <v>955.7998636331231</v>
      </c>
      <c r="D37" s="21"/>
      <c r="E37" s="31">
        <v>1233644.7106494494</v>
      </c>
      <c r="F37" s="21" t="s">
        <v>37</v>
      </c>
      <c r="G37" s="21"/>
    </row>
    <row r="38" ht="14.25">
      <c r="E38" s="37"/>
    </row>
    <row r="39" ht="14.25">
      <c r="E39" s="37"/>
    </row>
  </sheetData>
  <mergeCells count="5">
    <mergeCell ref="E5:G5"/>
    <mergeCell ref="E1:G1"/>
    <mergeCell ref="A3:G3"/>
    <mergeCell ref="A5:A6"/>
    <mergeCell ref="B5:D5"/>
  </mergeCells>
  <printOptions/>
  <pageMargins left="0.29" right="0.25" top="0.79" bottom="0.67" header="0.5" footer="0.5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:G23"/>
    </sheetView>
  </sheetViews>
  <sheetFormatPr defaultColWidth="9.140625" defaultRowHeight="12.75"/>
  <cols>
    <col min="1" max="1" width="20.57421875" style="42" customWidth="1"/>
    <col min="2" max="2" width="12.57421875" style="42" customWidth="1"/>
    <col min="3" max="3" width="11.57421875" style="42" customWidth="1"/>
    <col min="4" max="4" width="12.57421875" style="42" customWidth="1"/>
    <col min="5" max="5" width="13.421875" style="42" customWidth="1"/>
    <col min="6" max="6" width="10.00390625" style="42" customWidth="1"/>
    <col min="7" max="7" width="10.57421875" style="42" customWidth="1"/>
    <col min="8" max="8" width="10.57421875" style="42" hidden="1" customWidth="1"/>
    <col min="9" max="9" width="15.7109375" style="42" hidden="1" customWidth="1"/>
    <col min="10" max="10" width="12.421875" style="42" hidden="1" customWidth="1"/>
    <col min="11" max="11" width="13.28125" style="42" hidden="1" customWidth="1"/>
    <col min="12" max="12" width="17.57421875" style="42" hidden="1" customWidth="1"/>
    <col min="13" max="13" width="16.00390625" style="42" hidden="1" customWidth="1"/>
    <col min="14" max="15" width="0" style="42" hidden="1" customWidth="1"/>
    <col min="16" max="16" width="9.57421875" style="42" hidden="1" customWidth="1"/>
    <col min="17" max="17" width="11.7109375" style="42" hidden="1" customWidth="1"/>
    <col min="18" max="18" width="15.421875" style="42" hidden="1" customWidth="1"/>
    <col min="19" max="21" width="0" style="42" hidden="1" customWidth="1"/>
    <col min="22" max="16384" width="9.140625" style="42" customWidth="1"/>
  </cols>
  <sheetData>
    <row r="1" spans="5:8" ht="17.25" customHeight="1">
      <c r="E1" s="43" t="s">
        <v>72</v>
      </c>
      <c r="F1" s="5"/>
      <c r="G1" s="5"/>
      <c r="H1" s="38"/>
    </row>
    <row r="2" spans="5:8" ht="48" customHeight="1">
      <c r="E2" s="5"/>
      <c r="F2" s="5"/>
      <c r="G2" s="5"/>
      <c r="H2" s="38"/>
    </row>
    <row r="3" spans="1:9" ht="27" customHeight="1">
      <c r="A3" s="140" t="s">
        <v>39</v>
      </c>
      <c r="B3" s="141"/>
      <c r="C3" s="141"/>
      <c r="D3" s="141"/>
      <c r="E3" s="141"/>
      <c r="F3" s="141"/>
      <c r="G3" s="141"/>
      <c r="H3" s="44"/>
      <c r="I3" s="44"/>
    </row>
    <row r="4" ht="13.5" thickBot="1"/>
    <row r="5" spans="1:12" ht="45.75" thickBot="1">
      <c r="A5" s="45" t="s">
        <v>40</v>
      </c>
      <c r="B5" s="46"/>
      <c r="C5" s="46" t="s">
        <v>41</v>
      </c>
      <c r="D5" s="47" t="s">
        <v>42</v>
      </c>
      <c r="E5" s="48" t="s">
        <v>43</v>
      </c>
      <c r="F5" s="49" t="s">
        <v>44</v>
      </c>
      <c r="G5" s="50" t="s">
        <v>45</v>
      </c>
      <c r="H5" s="51"/>
      <c r="I5" s="51"/>
      <c r="K5" s="51"/>
      <c r="L5" s="51"/>
    </row>
    <row r="6" spans="1:9" ht="15.75" thickBot="1">
      <c r="A6" s="52" t="s">
        <v>46</v>
      </c>
      <c r="B6" s="53"/>
      <c r="C6" s="46" t="s">
        <v>47</v>
      </c>
      <c r="D6" s="54">
        <v>0.6</v>
      </c>
      <c r="E6" s="55">
        <v>0.4</v>
      </c>
      <c r="F6" s="56">
        <v>1</v>
      </c>
      <c r="G6" s="57"/>
      <c r="H6" s="58"/>
      <c r="I6" s="58"/>
    </row>
    <row r="7" spans="1:10" ht="15.75" thickBot="1">
      <c r="A7" s="59"/>
      <c r="B7" s="53"/>
      <c r="C7" s="46"/>
      <c r="D7" s="54">
        <v>0.5</v>
      </c>
      <c r="E7" s="55">
        <v>0.5</v>
      </c>
      <c r="F7" s="60"/>
      <c r="G7" s="61"/>
      <c r="H7" s="58"/>
      <c r="I7" s="62" t="s">
        <v>48</v>
      </c>
      <c r="J7" s="42" t="s">
        <v>49</v>
      </c>
    </row>
    <row r="8" spans="1:18" ht="14.25" customHeight="1">
      <c r="A8" s="63" t="s">
        <v>50</v>
      </c>
      <c r="B8" s="64" t="s">
        <v>51</v>
      </c>
      <c r="C8" s="64" t="s">
        <v>52</v>
      </c>
      <c r="D8" s="65">
        <v>953.2026</v>
      </c>
      <c r="E8" s="66">
        <v>635.4684000000001</v>
      </c>
      <c r="F8" s="67">
        <v>1588.671</v>
      </c>
      <c r="G8" s="68">
        <v>1588.671</v>
      </c>
      <c r="H8" s="69"/>
      <c r="I8" s="69"/>
      <c r="J8" s="70"/>
      <c r="K8" s="71"/>
      <c r="L8" s="71"/>
      <c r="M8" s="71"/>
      <c r="N8" s="71"/>
      <c r="O8" s="71"/>
      <c r="P8" s="71"/>
      <c r="Q8" s="71"/>
      <c r="R8" s="71"/>
    </row>
    <row r="9" spans="1:21" ht="12.75">
      <c r="A9" s="72"/>
      <c r="B9" s="73" t="s">
        <v>53</v>
      </c>
      <c r="C9" s="73" t="s">
        <v>54</v>
      </c>
      <c r="D9" s="74">
        <v>768.3480197819999</v>
      </c>
      <c r="E9" s="75">
        <v>512.2320131880001</v>
      </c>
      <c r="F9" s="76">
        <v>1280.58003297</v>
      </c>
      <c r="G9" s="77">
        <v>1280.58003297</v>
      </c>
      <c r="H9" s="78"/>
      <c r="I9" s="78">
        <f>'[1]Калькуляция'!N174/1000</f>
        <v>1264.8024533040002</v>
      </c>
      <c r="J9" s="71">
        <f>G9-I9</f>
        <v>15.777579665999838</v>
      </c>
      <c r="K9" s="42">
        <f>L9-D10*D8/1000</f>
        <v>-768.3480197819999</v>
      </c>
      <c r="L9" s="79">
        <f>('[1]Калькуляция'!P160+'[1]Калькуляция'!O163)/1000</f>
        <v>0</v>
      </c>
      <c r="M9" s="80" t="e">
        <f>'[1]Прил №2'!#REF!-'[1]тарифное меню'!L9*1000000</f>
        <v>#REF!</v>
      </c>
      <c r="O9" s="71"/>
      <c r="P9" s="71">
        <f>P10*K9</f>
        <v>-680037.8325596331</v>
      </c>
      <c r="Q9" s="80">
        <f>P9+D10*D8</f>
        <v>88310.18722236692</v>
      </c>
      <c r="R9" s="80" t="e">
        <f>'[1]Прил №2'!#REF!-'[1]тарифное меню'!Q9*1000</f>
        <v>#REF!</v>
      </c>
      <c r="S9" s="42">
        <f>S10*G8/1000</f>
        <v>1280.58003297</v>
      </c>
      <c r="T9" s="71">
        <f>G9-S9</f>
        <v>0</v>
      </c>
      <c r="U9" s="71">
        <v>31.09029147000001</v>
      </c>
    </row>
    <row r="10" spans="1:19" ht="12.75">
      <c r="A10" s="72"/>
      <c r="B10" s="73" t="s">
        <v>55</v>
      </c>
      <c r="C10" s="73" t="s">
        <v>56</v>
      </c>
      <c r="D10" s="81">
        <v>806.07</v>
      </c>
      <c r="E10" s="75">
        <v>806.07</v>
      </c>
      <c r="F10" s="82"/>
      <c r="G10" s="83">
        <v>806.07</v>
      </c>
      <c r="H10" s="84"/>
      <c r="I10" s="78"/>
      <c r="K10" s="42">
        <f>K9/E8*1000</f>
        <v>-1209.1049999999996</v>
      </c>
      <c r="P10" s="80">
        <f>P11*D10/100</f>
        <v>885.0648600000001</v>
      </c>
      <c r="S10" s="42">
        <v>806.07</v>
      </c>
    </row>
    <row r="11" spans="1:16" ht="13.5" thickBot="1">
      <c r="A11" s="85"/>
      <c r="B11" s="86" t="s">
        <v>57</v>
      </c>
      <c r="C11" s="86" t="s">
        <v>58</v>
      </c>
      <c r="D11" s="87"/>
      <c r="E11" s="88">
        <v>100</v>
      </c>
      <c r="F11" s="89"/>
      <c r="G11" s="90"/>
      <c r="H11" s="78"/>
      <c r="I11" s="78">
        <f>M36/1000-D9</f>
        <v>1321186.0756908676</v>
      </c>
      <c r="K11" s="42">
        <f>K10/D10*100</f>
        <v>-149.99999999999994</v>
      </c>
      <c r="L11" s="91"/>
      <c r="P11" s="92">
        <v>109.8</v>
      </c>
    </row>
    <row r="12" spans="1:16" ht="13.5" thickTop="1">
      <c r="A12" s="93" t="s">
        <v>59</v>
      </c>
      <c r="B12" s="94" t="s">
        <v>51</v>
      </c>
      <c r="C12" s="94" t="s">
        <v>60</v>
      </c>
      <c r="D12" s="95">
        <v>1854.139</v>
      </c>
      <c r="E12" s="96">
        <v>1854.139</v>
      </c>
      <c r="F12" s="97">
        <v>3708.278</v>
      </c>
      <c r="G12" s="98">
        <v>3708.278</v>
      </c>
      <c r="H12" s="78"/>
      <c r="I12" s="78">
        <f>M36-I11</f>
        <v>1320633237.6349585</v>
      </c>
      <c r="P12" s="99" t="s">
        <v>61</v>
      </c>
    </row>
    <row r="13" spans="1:9" ht="12.75">
      <c r="A13" s="100"/>
      <c r="B13" s="73" t="s">
        <v>53</v>
      </c>
      <c r="C13" s="73" t="s">
        <v>54</v>
      </c>
      <c r="D13" s="74">
        <v>82.75022357</v>
      </c>
      <c r="E13" s="101">
        <v>84.545903421469</v>
      </c>
      <c r="F13" s="75">
        <v>167.296126991469</v>
      </c>
      <c r="G13" s="77">
        <v>167.296126991469</v>
      </c>
      <c r="H13" s="78"/>
      <c r="I13" s="78"/>
    </row>
    <row r="14" spans="1:9" ht="12.75">
      <c r="A14" s="100"/>
      <c r="B14" s="73" t="s">
        <v>55</v>
      </c>
      <c r="C14" s="73" t="s">
        <v>62</v>
      </c>
      <c r="D14" s="81">
        <v>44.63</v>
      </c>
      <c r="E14" s="75">
        <v>45.598471</v>
      </c>
      <c r="F14" s="82"/>
      <c r="G14" s="77">
        <v>45.1142355</v>
      </c>
      <c r="H14" s="78"/>
      <c r="I14" s="78"/>
    </row>
    <row r="15" spans="1:12" ht="13.5" thickBot="1">
      <c r="A15" s="102"/>
      <c r="B15" s="86" t="s">
        <v>57</v>
      </c>
      <c r="C15" s="86" t="s">
        <v>58</v>
      </c>
      <c r="D15" s="87"/>
      <c r="E15" s="88">
        <v>102.17</v>
      </c>
      <c r="F15" s="89"/>
      <c r="G15" s="90"/>
      <c r="H15" s="78"/>
      <c r="I15" s="78"/>
      <c r="L15" s="91"/>
    </row>
    <row r="16" spans="1:9" ht="13.5" thickTop="1">
      <c r="A16" s="93" t="s">
        <v>63</v>
      </c>
      <c r="B16" s="94" t="s">
        <v>51</v>
      </c>
      <c r="C16" s="94" t="s">
        <v>60</v>
      </c>
      <c r="D16" s="95">
        <v>1.65</v>
      </c>
      <c r="E16" s="96">
        <v>1.65</v>
      </c>
      <c r="F16" s="96">
        <v>3.3</v>
      </c>
      <c r="G16" s="98">
        <v>3.3</v>
      </c>
      <c r="H16" s="78"/>
      <c r="I16" s="78"/>
    </row>
    <row r="17" spans="1:9" ht="12.75">
      <c r="A17" s="100"/>
      <c r="B17" s="73" t="s">
        <v>53</v>
      </c>
      <c r="C17" s="73" t="s">
        <v>54</v>
      </c>
      <c r="D17" s="103">
        <v>0.2560635</v>
      </c>
      <c r="E17" s="75">
        <v>0.2560635</v>
      </c>
      <c r="F17" s="104">
        <v>0.512127</v>
      </c>
      <c r="G17" s="105">
        <v>0.512127</v>
      </c>
      <c r="H17" s="69"/>
      <c r="I17" s="69"/>
    </row>
    <row r="18" spans="1:9" ht="12.75">
      <c r="A18" s="100"/>
      <c r="B18" s="73" t="s">
        <v>55</v>
      </c>
      <c r="C18" s="73" t="s">
        <v>62</v>
      </c>
      <c r="D18" s="81">
        <v>155.19</v>
      </c>
      <c r="E18" s="75">
        <v>155.19</v>
      </c>
      <c r="F18" s="82"/>
      <c r="G18" s="77">
        <v>155.19</v>
      </c>
      <c r="H18" s="78"/>
      <c r="I18" s="78"/>
    </row>
    <row r="19" spans="1:12" ht="13.5" thickBot="1">
      <c r="A19" s="106"/>
      <c r="B19" s="107" t="s">
        <v>57</v>
      </c>
      <c r="C19" s="107" t="s">
        <v>58</v>
      </c>
      <c r="D19" s="108"/>
      <c r="E19" s="109">
        <v>100</v>
      </c>
      <c r="F19" s="110"/>
      <c r="G19" s="111"/>
      <c r="H19" s="78"/>
      <c r="I19" s="78"/>
      <c r="L19" s="91"/>
    </row>
    <row r="20" spans="1:20" ht="13.5" thickBot="1">
      <c r="A20" s="112" t="s">
        <v>64</v>
      </c>
      <c r="B20" s="113" t="s">
        <v>53</v>
      </c>
      <c r="C20" s="113" t="s">
        <v>54</v>
      </c>
      <c r="D20" s="114">
        <v>851.3543068519999</v>
      </c>
      <c r="E20" s="115">
        <v>597.0339801094691</v>
      </c>
      <c r="F20" s="116">
        <v>1448.388286961469</v>
      </c>
      <c r="G20" s="117">
        <v>1448.388286961469</v>
      </c>
      <c r="H20" s="78">
        <f>'[1]Калькуляция'!L160/1000</f>
        <v>1448.3896827221292</v>
      </c>
      <c r="I20" s="78">
        <f>F20-H20</f>
        <v>-0.0013957606602161832</v>
      </c>
      <c r="K20" s="118">
        <f>'[1]Калькуляция'!H160/1000</f>
        <v>1456.2282025636</v>
      </c>
      <c r="L20" s="71">
        <f>G20-K20</f>
        <v>-7.839915602130986</v>
      </c>
      <c r="T20" s="119"/>
    </row>
    <row r="21" spans="1:11" ht="35.25" customHeight="1" thickBot="1">
      <c r="A21" s="120" t="s">
        <v>65</v>
      </c>
      <c r="B21" s="121"/>
      <c r="C21" s="122" t="s">
        <v>52</v>
      </c>
      <c r="D21" s="123">
        <v>1588.671</v>
      </c>
      <c r="E21" s="123"/>
      <c r="F21" s="123"/>
      <c r="G21" s="124"/>
      <c r="H21" s="125"/>
      <c r="I21" s="125"/>
      <c r="K21" s="80"/>
    </row>
    <row r="22" spans="1:9" ht="18.75" customHeight="1" thickBot="1">
      <c r="A22" s="126" t="s">
        <v>66</v>
      </c>
      <c r="B22" s="127"/>
      <c r="C22" s="128" t="s">
        <v>60</v>
      </c>
      <c r="D22" s="129">
        <v>3708.278</v>
      </c>
      <c r="E22" s="129"/>
      <c r="F22" s="129"/>
      <c r="G22" s="130"/>
      <c r="H22" s="131"/>
      <c r="I22" s="132"/>
    </row>
    <row r="23" spans="1:9" ht="17.25" customHeight="1" thickBot="1">
      <c r="A23" s="133" t="s">
        <v>63</v>
      </c>
      <c r="B23" s="134"/>
      <c r="C23" s="135" t="s">
        <v>60</v>
      </c>
      <c r="D23" s="136">
        <v>3.3</v>
      </c>
      <c r="E23" s="136"/>
      <c r="F23" s="136"/>
      <c r="G23" s="137"/>
      <c r="H23" s="125"/>
      <c r="I23" s="125"/>
    </row>
    <row r="25" spans="6:13" ht="12.75" hidden="1">
      <c r="F25" s="42">
        <v>2012</v>
      </c>
      <c r="G25" s="42" t="s">
        <v>49</v>
      </c>
      <c r="K25" s="42">
        <v>2013</v>
      </c>
      <c r="M25" s="42" t="s">
        <v>67</v>
      </c>
    </row>
    <row r="26" spans="2:13" ht="12.75" hidden="1">
      <c r="B26" s="42" t="s">
        <v>68</v>
      </c>
      <c r="E26" s="42" t="s">
        <v>55</v>
      </c>
      <c r="F26" s="42" t="s">
        <v>67</v>
      </c>
      <c r="G26" s="42">
        <v>1700</v>
      </c>
      <c r="K26" s="42">
        <v>60.49</v>
      </c>
      <c r="L26" s="42">
        <v>993.9</v>
      </c>
      <c r="M26" s="42">
        <f>K26*L26/1000</f>
        <v>60.121010999999996</v>
      </c>
    </row>
    <row r="27" spans="1:13" ht="12.75" hidden="1">
      <c r="A27" s="42" t="s">
        <v>69</v>
      </c>
      <c r="B27" s="42">
        <v>579.17</v>
      </c>
      <c r="E27" s="42">
        <v>60.49</v>
      </c>
      <c r="F27" s="42">
        <f>E27*G27/1000</f>
        <v>61.6998</v>
      </c>
      <c r="G27" s="42">
        <f>G26*D6</f>
        <v>1020</v>
      </c>
      <c r="K27" s="42">
        <f>M27/L27*1000</f>
        <v>71.91666287501778</v>
      </c>
      <c r="L27" s="42">
        <f>L28-L26</f>
        <v>703.3000000000001</v>
      </c>
      <c r="M27" s="42">
        <f>M28-M26</f>
        <v>50.57898900000001</v>
      </c>
    </row>
    <row r="28" spans="1:13" ht="12.75" hidden="1">
      <c r="A28" s="42" t="s">
        <v>70</v>
      </c>
      <c r="B28" s="42">
        <v>668.87</v>
      </c>
      <c r="C28" s="91">
        <f>B28/B27*100</f>
        <v>115.48768064644233</v>
      </c>
      <c r="E28" s="42">
        <f>F28/G28*1000</f>
        <v>53.54441176470588</v>
      </c>
      <c r="F28" s="42">
        <f>F29-F27</f>
        <v>36.410199999999996</v>
      </c>
      <c r="G28" s="42">
        <f>G26-G27</f>
        <v>680</v>
      </c>
      <c r="K28" s="42">
        <f>K27/K26</f>
        <v>1.1889016841629654</v>
      </c>
      <c r="L28" s="42">
        <f>1697.2</f>
        <v>1697.2</v>
      </c>
      <c r="M28" s="42">
        <v>110.7</v>
      </c>
    </row>
    <row r="29" ht="12.75" hidden="1">
      <c r="F29" s="42">
        <v>98.11</v>
      </c>
    </row>
    <row r="30" spans="1:3" ht="12.75" hidden="1">
      <c r="A30" s="42">
        <v>579.17</v>
      </c>
      <c r="B30" s="42">
        <v>1022</v>
      </c>
      <c r="C30" s="42">
        <f>A30*B30/1000</f>
        <v>591.91174</v>
      </c>
    </row>
    <row r="31" spans="1:6" ht="12.75" hidden="1">
      <c r="A31" s="42">
        <f>C31/B31*1000</f>
        <v>650.3357165576466</v>
      </c>
      <c r="B31" s="42">
        <v>723.11</v>
      </c>
      <c r="C31" s="42">
        <f>C32-C30</f>
        <v>470.2642599999999</v>
      </c>
      <c r="D31" s="42">
        <f>C31/B31*1000</f>
        <v>650.3357165576466</v>
      </c>
      <c r="E31" s="42">
        <v>650.34</v>
      </c>
      <c r="F31" s="42">
        <f>E31*B31/1000</f>
        <v>470.26735740000004</v>
      </c>
    </row>
    <row r="32" spans="1:6" ht="12.75" hidden="1">
      <c r="A32" s="42">
        <f>A31/A30</f>
        <v>1.1228753501694608</v>
      </c>
      <c r="B32" s="42">
        <f>SUM(B30:B31)</f>
        <v>1745.1100000000001</v>
      </c>
      <c r="C32" s="42">
        <v>1062.176</v>
      </c>
      <c r="D32" s="42">
        <v>1062.176</v>
      </c>
      <c r="F32" s="42">
        <f>C30+F31</f>
        <v>1062.1790974</v>
      </c>
    </row>
    <row r="33" spans="7:8" ht="12.75" hidden="1">
      <c r="G33" s="119">
        <f>'[1]Калькуляция'!L160/1000</f>
        <v>1448.3896827221292</v>
      </c>
      <c r="H33" s="119"/>
    </row>
    <row r="34" spans="7:12" ht="12.75" hidden="1">
      <c r="G34" s="119">
        <f>G20-G33</f>
        <v>-0.0013957606602161832</v>
      </c>
      <c r="K34" s="138" t="s">
        <v>53</v>
      </c>
      <c r="L34" s="92"/>
    </row>
    <row r="35" spans="11:13" ht="12.75">
      <c r="K35" s="138" t="s">
        <v>71</v>
      </c>
      <c r="L35" s="139">
        <f>'[1]Калькуляция'!L163</f>
        <v>1233644.7106494494</v>
      </c>
      <c r="M35" s="42">
        <v>1293448000</v>
      </c>
    </row>
    <row r="36" spans="11:17" ht="12.75">
      <c r="K36" s="138" t="s">
        <v>49</v>
      </c>
      <c r="L36" s="139">
        <v>1320720779</v>
      </c>
      <c r="M36" s="80">
        <f>L35+L36</f>
        <v>1321954423.7106495</v>
      </c>
      <c r="N36" s="42">
        <f>M36/F8/1000</f>
        <v>832.1133977460717</v>
      </c>
      <c r="O36" s="42">
        <f>N36/D10*100</f>
        <v>103.23091018721347</v>
      </c>
      <c r="Q36" s="42">
        <v>1293</v>
      </c>
    </row>
    <row r="37" spans="11:12" ht="12.75">
      <c r="K37" s="138" t="s">
        <v>66</v>
      </c>
      <c r="L37" s="139">
        <f>F13*1000000</f>
        <v>167296126.991469</v>
      </c>
    </row>
    <row r="38" spans="11:12" ht="12.75">
      <c r="K38" s="138" t="s">
        <v>63</v>
      </c>
      <c r="L38" s="139">
        <f>F17*1000000</f>
        <v>512127</v>
      </c>
    </row>
    <row r="40" ht="12.75">
      <c r="L40" s="80">
        <f>SUM(L35:L39)</f>
        <v>1489762677.7021184</v>
      </c>
    </row>
    <row r="42" ht="12.75">
      <c r="L42" s="80">
        <f>'[1]Калькуляция'!L160*1000</f>
        <v>1448389682.722129</v>
      </c>
    </row>
    <row r="43" ht="12.75">
      <c r="L43" s="80">
        <f>L42-L40</f>
        <v>-41372994.97998929</v>
      </c>
    </row>
  </sheetData>
  <mergeCells count="11">
    <mergeCell ref="A23:B23"/>
    <mergeCell ref="D23:G23"/>
    <mergeCell ref="A16:A19"/>
    <mergeCell ref="A21:B21"/>
    <mergeCell ref="D21:G21"/>
    <mergeCell ref="A22:B22"/>
    <mergeCell ref="D22:G22"/>
    <mergeCell ref="E1:G2"/>
    <mergeCell ref="A3:G3"/>
    <mergeCell ref="A8:A11"/>
    <mergeCell ref="A12:A15"/>
  </mergeCells>
  <printOptions/>
  <pageMargins left="0.75" right="0.22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tbarskaja</cp:lastModifiedBy>
  <cp:lastPrinted>2017-12-26T09:14:54Z</cp:lastPrinted>
  <dcterms:created xsi:type="dcterms:W3CDTF">1996-10-08T23:32:33Z</dcterms:created>
  <dcterms:modified xsi:type="dcterms:W3CDTF">2017-12-26T09:21:33Z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