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278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<sst xmlns="http://schemas.openxmlformats.org/spreadsheetml/2006/main" count="274" uniqueCount="149">
  <si>
    <t>№ п.п.</t>
  </si>
  <si>
    <t>Наименование</t>
  </si>
  <si>
    <t>Ед.изм.</t>
  </si>
  <si>
    <t>Утверждено</t>
  </si>
  <si>
    <t>Факт</t>
  </si>
  <si>
    <t>Долгосрочные параметры регулирования</t>
  </si>
  <si>
    <t>Базовый уровень подконтрольных расходов (ПР)</t>
  </si>
  <si>
    <t>тыс.руб.</t>
  </si>
  <si>
    <t>х</t>
  </si>
  <si>
    <t>-</t>
  </si>
  <si>
    <t>Индекс эффективности подконтрольных расходов (Хэф)</t>
  </si>
  <si>
    <t>%</t>
  </si>
  <si>
    <t>Коэффициент эластичности подконтрольных расходов по количеству активов (К эл)</t>
  </si>
  <si>
    <t>знач.</t>
  </si>
  <si>
    <t>Максимально возможная корректировка НВВ, с учетом достижения установленного уровня надежности и качества услуг, в соответствии с приказом ФСТ от 26.10.2010 №254-э/1, а именно:</t>
  </si>
  <si>
    <t xml:space="preserve">   в случае предоставления сетевой организацией недостоверных отчетных данных или их непредставления (со знаком  минус)</t>
  </si>
  <si>
    <t>от 0,5 до 3</t>
  </si>
  <si>
    <t xml:space="preserve">   при предоставлении сетевой организацией достоверных отчетных данных </t>
  </si>
  <si>
    <t>расчетное значение</t>
  </si>
  <si>
    <t>Величина технологического расхода</t>
  </si>
  <si>
    <t>млн. кВт.ч</t>
  </si>
  <si>
    <t>Уровень надежности и качества оказываемых услуг</t>
  </si>
  <si>
    <t>6.1.</t>
  </si>
  <si>
    <t>Показатель средней продолжительности прекращения передачи электрическолй энергии (Пп)</t>
  </si>
  <si>
    <t>6.2.</t>
  </si>
  <si>
    <t>Показатель уровня качества осуществляемого технологического присоединения (Птпр)</t>
  </si>
  <si>
    <t>6.3.</t>
  </si>
  <si>
    <t>Показатель уровня качества оказываемых услуг территориальных сетевых организаций (Птсо)</t>
  </si>
  <si>
    <t>Планируемые значения параметров расчета тарифов</t>
  </si>
  <si>
    <t>Индекс потребительских цен (ИПЦ)</t>
  </si>
  <si>
    <t>Количество активов (УЕ)</t>
  </si>
  <si>
    <t>Величина неподконтрольных расходов (НР)</t>
  </si>
  <si>
    <t>Величина мощности</t>
  </si>
  <si>
    <t>МВт</t>
  </si>
  <si>
    <t>Величина полезного отпуска электрической энергии</t>
  </si>
  <si>
    <t>млн.кВт.ч.</t>
  </si>
  <si>
    <t>Прогнозная цена (тариф) покупки потерь электрической энергии</t>
  </si>
  <si>
    <t>руб./МВт.ч.</t>
  </si>
  <si>
    <t>Расчетные показатели</t>
  </si>
  <si>
    <t>Доля подконтрольных расходов на МВт.ч.</t>
  </si>
  <si>
    <t>руб.МВт.ч.</t>
  </si>
  <si>
    <t>Проверка прибыли на капитальные вложения (не более 12 % от НВВ на содержание сетей)</t>
  </si>
  <si>
    <t xml:space="preserve">НВВ для расчета КВЛ </t>
  </si>
  <si>
    <t>Индекс изменения количества активов (ИКА)</t>
  </si>
  <si>
    <t>Подконтрольные расходы организации (ПР)</t>
  </si>
  <si>
    <t>Расходы на оплату труда</t>
  </si>
  <si>
    <t>Материалы</t>
  </si>
  <si>
    <t>Ремонт основных фондов</t>
  </si>
  <si>
    <t>Другие обоснованные подконтрольные расходы, в том числе:</t>
  </si>
  <si>
    <t>Работы и услуги производственного характера</t>
  </si>
  <si>
    <t>Обеспечение нормальных условий труда и техники безопасности</t>
  </si>
  <si>
    <t>4.4.</t>
  </si>
  <si>
    <t>Расходы на командировки</t>
  </si>
  <si>
    <t>Расходы на обучение персонала</t>
  </si>
  <si>
    <t>Расходы на страхование</t>
  </si>
  <si>
    <t>Расходы на услуги банков</t>
  </si>
  <si>
    <t>Прочие обоснованные подконтрольные расходы</t>
  </si>
  <si>
    <t>Итого ПР с учетом индексации:</t>
  </si>
  <si>
    <t>Неподконтрольные расходы организации (НР)</t>
  </si>
  <si>
    <t>Амортизация основных средств</t>
  </si>
  <si>
    <t>Отчисления на социальные нужды</t>
  </si>
  <si>
    <t>Плата за землю</t>
  </si>
  <si>
    <t>Транспортный налог</t>
  </si>
  <si>
    <t>Налог на имущество</t>
  </si>
  <si>
    <t>Плата за негативное воздействие на окружающую среду</t>
  </si>
  <si>
    <t>Налог на прибыль</t>
  </si>
  <si>
    <t>Плата за аренду имущества</t>
  </si>
  <si>
    <t>Итого НР:</t>
  </si>
  <si>
    <t xml:space="preserve">Корректировка необходимой валовой выручки </t>
  </si>
  <si>
    <t>Корректировка подконтрольных расходов</t>
  </si>
  <si>
    <t>Корректировка неподконтрольных расходов</t>
  </si>
  <si>
    <t xml:space="preserve">Корректировка НВВ с учетом изменения полезного отпуска и цен на электрическую энергию </t>
  </si>
  <si>
    <t xml:space="preserve">Корректировка НВВ в связи с изменением (неисполнением) инвестиционной программы </t>
  </si>
  <si>
    <t xml:space="preserve">Корректировка НВВ с учетом надежности и качества оказываемых услуг </t>
  </si>
  <si>
    <t>Подконтрольные расходы</t>
  </si>
  <si>
    <t>Неподконтрольные расходы</t>
  </si>
  <si>
    <t>Результаты деятельности организации до перехода к долгосрочному регулированию и в период долгосрочного регулирования</t>
  </si>
  <si>
    <t>x</t>
  </si>
  <si>
    <t xml:space="preserve">Общий коэффициент индексации подконтрольных расходов </t>
  </si>
  <si>
    <t>предложено ТСО</t>
  </si>
  <si>
    <t>Работы и услуги непроизводственного характера (услуги вневедомственной охраны)</t>
  </si>
  <si>
    <t xml:space="preserve">2014 год </t>
  </si>
  <si>
    <t>2015 год</t>
  </si>
  <si>
    <t>2016 год</t>
  </si>
  <si>
    <t>Ожид.</t>
  </si>
  <si>
    <t>Уверждено</t>
  </si>
  <si>
    <t>4.</t>
  </si>
  <si>
    <t>у.е.</t>
  </si>
  <si>
    <t>1.</t>
  </si>
  <si>
    <t>2.</t>
  </si>
  <si>
    <t>5.</t>
  </si>
  <si>
    <t>6.</t>
  </si>
  <si>
    <t>3.</t>
  </si>
  <si>
    <t>1.1.</t>
  </si>
  <si>
    <t>1.2.</t>
  </si>
  <si>
    <t>1.3.</t>
  </si>
  <si>
    <t>1.4.</t>
  </si>
  <si>
    <t>1.5.</t>
  </si>
  <si>
    <t xml:space="preserve">Необходимая валовая выручка (НВВ) организации на содержание электрических сетей </t>
  </si>
  <si>
    <t>4.1.</t>
  </si>
  <si>
    <t>4.2.</t>
  </si>
  <si>
    <t>4.3.</t>
  </si>
  <si>
    <t>4.5.</t>
  </si>
  <si>
    <t>4.6.</t>
  </si>
  <si>
    <t>4.7.</t>
  </si>
  <si>
    <t>4.8.</t>
  </si>
  <si>
    <t>5.2.</t>
  </si>
  <si>
    <t>Прочие обоснованные расходы из прибыли (на социальное развитие)</t>
  </si>
  <si>
    <t>Расходы на оплату услуг организаций, осуществляющих регулируемые виды деятельности</t>
  </si>
  <si>
    <t>Налоги и сборы, в том числе</t>
  </si>
  <si>
    <t>Капитальные вложения производственного характера из прибыли</t>
  </si>
  <si>
    <t>Расходы, связанные с компенсацией выпадающих доходов от льготого технологического присоединения, в том числе</t>
  </si>
  <si>
    <t>7.</t>
  </si>
  <si>
    <t>7.1.</t>
  </si>
  <si>
    <t>Расходы на внедрение программы энергосбережения</t>
  </si>
  <si>
    <t>8.</t>
  </si>
  <si>
    <t>9.</t>
  </si>
  <si>
    <t>Прочие обоснованные неподконтрольные расходы, в том числе</t>
  </si>
  <si>
    <t>Расходы из прибыли на оплату процентов по кредитам</t>
  </si>
  <si>
    <t>10.</t>
  </si>
  <si>
    <t>11.</t>
  </si>
  <si>
    <t>Недополученный доход по независящим прчинам за 2015 год</t>
  </si>
  <si>
    <t>Результаты деятельности регулируемой организации</t>
  </si>
  <si>
    <t>2.1.</t>
  </si>
  <si>
    <t>2.2.</t>
  </si>
  <si>
    <t>2.3.</t>
  </si>
  <si>
    <t>Расходы из прибыли (на социальное развитие)</t>
  </si>
  <si>
    <t>12.</t>
  </si>
  <si>
    <t>13.</t>
  </si>
  <si>
    <t>Расходы, связанные с предоставлением беспроцентной рассрочки по оплате технологического присоединения</t>
  </si>
  <si>
    <r>
      <t xml:space="preserve">Расходы по мероприятиям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последней мили</t>
    </r>
    <r>
      <rPr>
        <sz val="12"/>
        <rFont val="Arial"/>
        <family val="2"/>
      </rPr>
      <t>»</t>
    </r>
    <r>
      <rPr>
        <sz val="12"/>
        <rFont val="Times New Roman"/>
        <family val="1"/>
      </rPr>
      <t>, связанные с осуществлением технологического присоединения энергопринимающих устройств максимальной мощностью до 150 кВт включительно</t>
    </r>
  </si>
  <si>
    <t>2.4.</t>
  </si>
  <si>
    <t>Экономически обоснованные расходы, не учтенные при регулировании на 2015 год (в части оплаты ООО "Электросетевая компания. Карелия")</t>
  </si>
  <si>
    <t>Излишне полученные доходы (по судебным решениям с                                 АО "Прионежская сетевая компания" за 2013 год)</t>
  </si>
  <si>
    <t>Итого корректировка НВВ:</t>
  </si>
  <si>
    <t>2018 год</t>
  </si>
  <si>
    <t>на 2018 год</t>
  </si>
  <si>
    <t>Расходы на формирование резерва по сомнительным долгам</t>
  </si>
  <si>
    <t>за 2015 год</t>
  </si>
  <si>
    <t>за 2016 год</t>
  </si>
  <si>
    <t>1.3.1.</t>
  </si>
  <si>
    <t>1.3.2.</t>
  </si>
  <si>
    <t>1.5.1.</t>
  </si>
  <si>
    <t>1.5.2.</t>
  </si>
  <si>
    <t>Результаты деятельности за 2016 год</t>
  </si>
  <si>
    <t>Необходимая валовая выручка на содержание электрических сетей                           АО «Объединенные региональные электрические сети Петрозаводска»                  на 2018 год</t>
  </si>
  <si>
    <t>Приложение к протоколу заседания                                                                                                                                            Правления Госкомитета Республики Карелия                                                                                                                                                по ценам и тарифам от 28.06.2018 № 38</t>
  </si>
  <si>
    <t xml:space="preserve">Расходы на оплату услуг ПАО «ФСК ЕЭС» </t>
  </si>
  <si>
    <t>Выполнение решения ФАС России от 20.06.2018 № СП/45637/18  (необоснованно учтенные расходы по статье "Расходы на услуги ГАУ РК "Карельский информационно-аналитический центр интегральной системы ресурсного мониторинга" за период 2012-2017 гг.)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</si>
</sst>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.0000"/>
    <numFmt numFmtId="173" formatCode="0.0"/>
    <numFmt numFmtId="174" formatCode="#,##0.000"/>
    <numFmt numFmtId="175" formatCode="0.0%"/>
    <numFmt numFmtId="176" formatCode="#,##0.00_ ;\-#,##0.00\ "/>
    <numFmt numFmtId="177" formatCode="#,##0.0"/>
    <numFmt numFmtId="178" formatCode="0.000"/>
    <numFmt numFmtId="179" formatCode="0.0000"/>
  </numFmts>
  <fonts count="29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 wrapText="1" shrinkToFi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174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 wrapText="1" shrinkToFi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2" fontId="8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 shrinkToFit="1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24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24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right" vertical="center" wrapText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 shrinkToFit="1"/>
      <protection/>
    </xf>
    <xf numFmtId="0" fontId="1" fillId="0" borderId="10" xfId="0" applyFont="1" applyFill="1" applyBorder="1" applyAlignment="1" applyProtection="1">
      <alignment horizontal="center" vertical="center" wrapText="1" shrinkToFit="1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 vertical="center" wrapText="1" shrinkToFi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20" borderId="10" xfId="0" applyFont="1" applyFill="1" applyBorder="1" applyAlignment="1" applyProtection="1">
      <alignment horizontal="center" vertical="center"/>
      <protection/>
    </xf>
    <xf numFmtId="4" fontId="7" fillId="2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9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10" fontId="7" fillId="0" borderId="10" xfId="0" applyNumberFormat="1" applyFont="1" applyFill="1" applyBorder="1" applyAlignment="1" applyProtection="1">
      <alignment horizontal="center" vertical="center"/>
      <protection/>
    </xf>
    <xf numFmtId="10" fontId="7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174" fontId="7" fillId="0" borderId="10" xfId="0" applyNumberFormat="1" applyFont="1" applyFill="1" applyBorder="1" applyAlignment="1" applyProtection="1">
      <alignment horizontal="center" vertical="center"/>
      <protection/>
    </xf>
    <xf numFmtId="174" fontId="8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 shrinkToFit="1"/>
      <protection/>
    </xf>
    <xf numFmtId="0" fontId="8" fillId="0" borderId="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52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2" fontId="7" fillId="0" borderId="10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24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horizontal="center" vertical="center" wrapText="1"/>
      <protection locked="0"/>
    </xf>
    <xf numFmtId="2" fontId="7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 shrinkToFit="1"/>
      <protection/>
    </xf>
    <xf numFmtId="2" fontId="8" fillId="0" borderId="10" xfId="0" applyNumberFormat="1" applyFont="1" applyBorder="1" applyAlignment="1" applyProtection="1">
      <alignment horizontal="center" vertical="center" wrapText="1"/>
      <protection locked="0"/>
    </xf>
    <xf numFmtId="4" fontId="8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24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/>
    </xf>
    <xf numFmtId="4" fontId="8" fillId="24" borderId="10" xfId="0" applyNumberFormat="1" applyFont="1" applyFill="1" applyBorder="1" applyAlignment="1" applyProtection="1">
      <alignment horizontal="center" vertical="center"/>
      <protection/>
    </xf>
    <xf numFmtId="4" fontId="8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а расходов сете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11"/>
  <sheetViews>
    <sheetView tabSelected="1" zoomScale="85" zoomScaleNormal="85" zoomScalePageLayoutView="0" workbookViewId="0" topLeftCell="A1">
      <pane ySplit="11" topLeftCell="BM15" activePane="bottomLeft" state="frozen"/>
      <selection pane="topLeft" activeCell="A1" sqref="A1"/>
      <selection pane="bottomLeft" activeCell="C104" sqref="C104"/>
    </sheetView>
  </sheetViews>
  <sheetFormatPr defaultColWidth="4.625" defaultRowHeight="12.75"/>
  <cols>
    <col min="1" max="1" width="27.125" style="3" customWidth="1"/>
    <col min="2" max="2" width="6.75390625" style="3" customWidth="1"/>
    <col min="3" max="3" width="71.125" style="3" customWidth="1"/>
    <col min="4" max="4" width="14.75390625" style="5" customWidth="1"/>
    <col min="5" max="5" width="11.75390625" style="5" hidden="1" customWidth="1"/>
    <col min="6" max="6" width="13.625" style="3" hidden="1" customWidth="1"/>
    <col min="7" max="7" width="13.75390625" style="3" hidden="1" customWidth="1"/>
    <col min="8" max="8" width="15.00390625" style="3" hidden="1" customWidth="1"/>
    <col min="9" max="9" width="15.25390625" style="3" hidden="1" customWidth="1"/>
    <col min="10" max="10" width="19.625" style="3" customWidth="1"/>
    <col min="11" max="242" width="9.125" style="3" customWidth="1"/>
    <col min="243" max="16384" width="4.625" style="3" customWidth="1"/>
  </cols>
  <sheetData>
    <row r="1" spans="3:10" ht="12.75" customHeight="1">
      <c r="C1" s="37" t="s">
        <v>146</v>
      </c>
      <c r="D1" s="38"/>
      <c r="E1" s="38"/>
      <c r="F1" s="38"/>
      <c r="G1" s="38"/>
      <c r="H1" s="38"/>
      <c r="I1" s="38"/>
      <c r="J1" s="38"/>
    </row>
    <row r="2" spans="3:10" ht="12.75" customHeight="1">
      <c r="C2" s="38"/>
      <c r="D2" s="38"/>
      <c r="E2" s="38"/>
      <c r="F2" s="38"/>
      <c r="G2" s="38"/>
      <c r="H2" s="38"/>
      <c r="I2" s="38"/>
      <c r="J2" s="38"/>
    </row>
    <row r="3" spans="3:10" ht="12.75" customHeight="1">
      <c r="C3" s="38"/>
      <c r="D3" s="38"/>
      <c r="E3" s="38"/>
      <c r="F3" s="38"/>
      <c r="G3" s="38"/>
      <c r="H3" s="38"/>
      <c r="I3" s="38"/>
      <c r="J3" s="38"/>
    </row>
    <row r="4" spans="2:10" ht="12.75" customHeight="1">
      <c r="B4" s="1"/>
      <c r="C4" s="38"/>
      <c r="D4" s="38"/>
      <c r="E4" s="38"/>
      <c r="F4" s="38"/>
      <c r="G4" s="38"/>
      <c r="H4" s="38"/>
      <c r="I4" s="38"/>
      <c r="J4" s="38"/>
    </row>
    <row r="5" spans="2:7" ht="12.75" customHeight="1">
      <c r="B5" s="1"/>
      <c r="C5" s="1"/>
      <c r="D5" s="2"/>
      <c r="E5" s="2"/>
      <c r="F5" s="1"/>
      <c r="G5" s="1"/>
    </row>
    <row r="6" spans="2:10" s="4" customFormat="1" ht="66.75" customHeight="1">
      <c r="B6" s="39" t="s">
        <v>145</v>
      </c>
      <c r="C6" s="39"/>
      <c r="D6" s="39"/>
      <c r="E6" s="39"/>
      <c r="F6" s="39"/>
      <c r="G6" s="39"/>
      <c r="H6" s="39"/>
      <c r="I6" s="39"/>
      <c r="J6" s="39"/>
    </row>
    <row r="7" ht="16.5" customHeight="1"/>
    <row r="8" spans="2:10" ht="15" customHeight="1">
      <c r="B8" s="40" t="s">
        <v>0</v>
      </c>
      <c r="C8" s="40" t="s">
        <v>1</v>
      </c>
      <c r="D8" s="41" t="s">
        <v>2</v>
      </c>
      <c r="E8" s="41" t="s">
        <v>81</v>
      </c>
      <c r="F8" s="41"/>
      <c r="G8" s="42" t="s">
        <v>82</v>
      </c>
      <c r="H8" s="42"/>
      <c r="I8" s="43" t="s">
        <v>83</v>
      </c>
      <c r="J8" s="44" t="s">
        <v>135</v>
      </c>
    </row>
    <row r="9" spans="2:10" ht="15" customHeight="1">
      <c r="B9" s="40"/>
      <c r="C9" s="40"/>
      <c r="D9" s="41"/>
      <c r="E9" s="41"/>
      <c r="F9" s="41"/>
      <c r="G9" s="42"/>
      <c r="H9" s="42"/>
      <c r="I9" s="43"/>
      <c r="J9" s="44"/>
    </row>
    <row r="10" spans="2:16" ht="57.75" customHeight="1">
      <c r="B10" s="40"/>
      <c r="C10" s="40"/>
      <c r="D10" s="41"/>
      <c r="E10" s="45" t="s">
        <v>4</v>
      </c>
      <c r="F10" s="45" t="s">
        <v>85</v>
      </c>
      <c r="G10" s="46" t="s">
        <v>84</v>
      </c>
      <c r="H10" s="46" t="s">
        <v>3</v>
      </c>
      <c r="I10" s="46" t="s">
        <v>79</v>
      </c>
      <c r="J10" s="47"/>
      <c r="K10" s="21"/>
      <c r="L10" s="21"/>
      <c r="M10" s="21"/>
      <c r="N10" s="21"/>
      <c r="O10" s="21"/>
      <c r="P10" s="21"/>
    </row>
    <row r="11" spans="2:16" s="6" customFormat="1" ht="13.5" customHeight="1">
      <c r="B11" s="48">
        <v>1</v>
      </c>
      <c r="C11" s="48">
        <v>2</v>
      </c>
      <c r="D11" s="49">
        <v>3</v>
      </c>
      <c r="E11" s="49"/>
      <c r="F11" s="49">
        <v>6</v>
      </c>
      <c r="G11" s="49">
        <v>8</v>
      </c>
      <c r="H11" s="49">
        <v>9</v>
      </c>
      <c r="I11" s="50">
        <v>10</v>
      </c>
      <c r="J11" s="50">
        <v>4</v>
      </c>
      <c r="K11" s="22"/>
      <c r="L11" s="22"/>
      <c r="M11" s="22"/>
      <c r="N11" s="22"/>
      <c r="O11" s="22"/>
      <c r="P11" s="22"/>
    </row>
    <row r="12" spans="2:16" s="11" customFormat="1" ht="14.25" customHeight="1" hidden="1" thickBot="1">
      <c r="B12" s="51" t="s">
        <v>5</v>
      </c>
      <c r="C12" s="51"/>
      <c r="D12" s="51"/>
      <c r="E12" s="51"/>
      <c r="F12" s="51"/>
      <c r="G12" s="51"/>
      <c r="H12" s="52"/>
      <c r="I12" s="52"/>
      <c r="J12" s="52"/>
      <c r="K12" s="13"/>
      <c r="L12" s="13"/>
      <c r="M12" s="13"/>
      <c r="N12" s="13"/>
      <c r="O12" s="13"/>
      <c r="P12" s="13"/>
    </row>
    <row r="13" spans="2:16" ht="15" customHeight="1" hidden="1">
      <c r="B13" s="53">
        <v>1</v>
      </c>
      <c r="C13" s="26" t="s">
        <v>6</v>
      </c>
      <c r="D13" s="54" t="s">
        <v>7</v>
      </c>
      <c r="E13" s="55"/>
      <c r="F13" s="56" t="e">
        <f>F54</f>
        <v>#REF!</v>
      </c>
      <c r="G13" s="56" t="e">
        <f>G54</f>
        <v>#REF!</v>
      </c>
      <c r="H13" s="57" t="e">
        <f>H54</f>
        <v>#REF!</v>
      </c>
      <c r="I13" s="57" t="e">
        <f>I54</f>
        <v>#REF!</v>
      </c>
      <c r="J13" s="57">
        <f>J54</f>
        <v>178932.72540363666</v>
      </c>
      <c r="K13" s="21"/>
      <c r="L13" s="21"/>
      <c r="M13" s="21"/>
      <c r="N13" s="21"/>
      <c r="O13" s="21"/>
      <c r="P13" s="21"/>
    </row>
    <row r="14" spans="2:16" ht="30" customHeight="1">
      <c r="B14" s="53" t="s">
        <v>88</v>
      </c>
      <c r="C14" s="26" t="s">
        <v>10</v>
      </c>
      <c r="D14" s="54" t="s">
        <v>11</v>
      </c>
      <c r="E14" s="54" t="s">
        <v>8</v>
      </c>
      <c r="F14" s="58">
        <v>0.01</v>
      </c>
      <c r="G14" s="58" t="s">
        <v>8</v>
      </c>
      <c r="H14" s="58" t="s">
        <v>8</v>
      </c>
      <c r="I14" s="58">
        <v>0.03</v>
      </c>
      <c r="J14" s="58">
        <v>0.03</v>
      </c>
      <c r="K14" s="21"/>
      <c r="L14" s="21"/>
      <c r="M14" s="21"/>
      <c r="N14" s="21"/>
      <c r="O14" s="21"/>
      <c r="P14" s="21"/>
    </row>
    <row r="15" spans="2:16" ht="31.5">
      <c r="B15" s="53" t="s">
        <v>89</v>
      </c>
      <c r="C15" s="26" t="s">
        <v>12</v>
      </c>
      <c r="D15" s="54" t="s">
        <v>13</v>
      </c>
      <c r="E15" s="54" t="s">
        <v>8</v>
      </c>
      <c r="F15" s="59">
        <v>0.75</v>
      </c>
      <c r="G15" s="57" t="s">
        <v>8</v>
      </c>
      <c r="H15" s="57" t="s">
        <v>8</v>
      </c>
      <c r="I15" s="57">
        <v>0.75</v>
      </c>
      <c r="J15" s="57">
        <v>0.75</v>
      </c>
      <c r="K15" s="21"/>
      <c r="L15" s="21"/>
      <c r="M15" s="21"/>
      <c r="N15" s="21"/>
      <c r="O15" s="21"/>
      <c r="P15" s="21"/>
    </row>
    <row r="16" spans="2:16" ht="47.25" hidden="1">
      <c r="B16" s="53">
        <v>4</v>
      </c>
      <c r="C16" s="26" t="s">
        <v>14</v>
      </c>
      <c r="D16" s="54" t="s">
        <v>11</v>
      </c>
      <c r="E16" s="54"/>
      <c r="F16" s="57" t="s">
        <v>9</v>
      </c>
      <c r="G16" s="57" t="s">
        <v>9</v>
      </c>
      <c r="H16" s="57" t="s">
        <v>9</v>
      </c>
      <c r="I16" s="57" t="s">
        <v>9</v>
      </c>
      <c r="J16" s="57" t="s">
        <v>9</v>
      </c>
      <c r="K16" s="21"/>
      <c r="L16" s="21"/>
      <c r="M16" s="21"/>
      <c r="N16" s="21"/>
      <c r="O16" s="21"/>
      <c r="P16" s="21"/>
    </row>
    <row r="17" spans="2:16" ht="31.5" hidden="1">
      <c r="B17" s="53"/>
      <c r="C17" s="26" t="s">
        <v>15</v>
      </c>
      <c r="D17" s="54" t="s">
        <v>11</v>
      </c>
      <c r="E17" s="54"/>
      <c r="F17" s="57" t="s">
        <v>16</v>
      </c>
      <c r="G17" s="57" t="s">
        <v>16</v>
      </c>
      <c r="H17" s="57" t="s">
        <v>16</v>
      </c>
      <c r="I17" s="52"/>
      <c r="J17" s="52"/>
      <c r="K17" s="21"/>
      <c r="L17" s="21"/>
      <c r="M17" s="21"/>
      <c r="N17" s="21"/>
      <c r="O17" s="21"/>
      <c r="P17" s="21"/>
    </row>
    <row r="18" spans="2:16" ht="31.5" hidden="1">
      <c r="B18" s="53"/>
      <c r="C18" s="26" t="s">
        <v>17</v>
      </c>
      <c r="D18" s="54" t="s">
        <v>11</v>
      </c>
      <c r="E18" s="54"/>
      <c r="F18" s="60" t="s">
        <v>18</v>
      </c>
      <c r="G18" s="60" t="s">
        <v>8</v>
      </c>
      <c r="H18" s="60" t="s">
        <v>18</v>
      </c>
      <c r="I18" s="52"/>
      <c r="J18" s="52"/>
      <c r="K18" s="21"/>
      <c r="L18" s="21"/>
      <c r="M18" s="21"/>
      <c r="N18" s="21"/>
      <c r="O18" s="21"/>
      <c r="P18" s="21"/>
    </row>
    <row r="19" spans="2:16" ht="18.75" customHeight="1" hidden="1">
      <c r="B19" s="53">
        <v>5</v>
      </c>
      <c r="C19" s="26" t="s">
        <v>19</v>
      </c>
      <c r="D19" s="54" t="s">
        <v>20</v>
      </c>
      <c r="E19" s="54"/>
      <c r="F19" s="59">
        <v>5.3386</v>
      </c>
      <c r="G19" s="61">
        <v>5.338</v>
      </c>
      <c r="H19" s="61">
        <v>5.13997</v>
      </c>
      <c r="I19" s="62">
        <v>5.338</v>
      </c>
      <c r="J19" s="62">
        <v>5.13997</v>
      </c>
      <c r="K19" s="21"/>
      <c r="L19" s="21"/>
      <c r="M19" s="21"/>
      <c r="N19" s="21"/>
      <c r="O19" s="21"/>
      <c r="P19" s="21"/>
    </row>
    <row r="20" spans="2:16" ht="15" customHeight="1" hidden="1" thickBot="1">
      <c r="B20" s="53">
        <v>6</v>
      </c>
      <c r="C20" s="26" t="s">
        <v>21</v>
      </c>
      <c r="D20" s="54"/>
      <c r="E20" s="54"/>
      <c r="F20" s="57" t="s">
        <v>9</v>
      </c>
      <c r="G20" s="57" t="s">
        <v>9</v>
      </c>
      <c r="H20" s="57" t="s">
        <v>9</v>
      </c>
      <c r="I20" s="57" t="s">
        <v>9</v>
      </c>
      <c r="J20" s="57" t="s">
        <v>9</v>
      </c>
      <c r="K20" s="21"/>
      <c r="L20" s="21"/>
      <c r="M20" s="21"/>
      <c r="N20" s="21"/>
      <c r="O20" s="21"/>
      <c r="P20" s="21"/>
    </row>
    <row r="21" spans="2:16" ht="30" customHeight="1" hidden="1">
      <c r="B21" s="53" t="s">
        <v>22</v>
      </c>
      <c r="C21" s="26" t="s">
        <v>23</v>
      </c>
      <c r="D21" s="54" t="s">
        <v>13</v>
      </c>
      <c r="E21" s="54"/>
      <c r="F21" s="63">
        <v>0</v>
      </c>
      <c r="G21" s="63">
        <v>0</v>
      </c>
      <c r="H21" s="63">
        <v>0</v>
      </c>
      <c r="I21" s="64">
        <v>0</v>
      </c>
      <c r="J21" s="63">
        <v>0</v>
      </c>
      <c r="K21" s="21"/>
      <c r="L21" s="21"/>
      <c r="M21" s="21"/>
      <c r="N21" s="21"/>
      <c r="O21" s="21"/>
      <c r="P21" s="21"/>
    </row>
    <row r="22" spans="2:16" ht="26.25" customHeight="1" hidden="1">
      <c r="B22" s="53" t="s">
        <v>24</v>
      </c>
      <c r="C22" s="65" t="s">
        <v>25</v>
      </c>
      <c r="D22" s="54" t="s">
        <v>13</v>
      </c>
      <c r="E22" s="54"/>
      <c r="F22" s="60" t="s">
        <v>8</v>
      </c>
      <c r="G22" s="63">
        <v>1</v>
      </c>
      <c r="H22" s="63">
        <v>1</v>
      </c>
      <c r="I22" s="64">
        <v>1</v>
      </c>
      <c r="J22" s="63">
        <v>1</v>
      </c>
      <c r="K22" s="21"/>
      <c r="L22" s="21"/>
      <c r="M22" s="21"/>
      <c r="N22" s="21"/>
      <c r="O22" s="21"/>
      <c r="P22" s="21"/>
    </row>
    <row r="23" spans="2:16" ht="30.75" customHeight="1" hidden="1" thickBot="1">
      <c r="B23" s="53" t="s">
        <v>26</v>
      </c>
      <c r="C23" s="66" t="s">
        <v>27</v>
      </c>
      <c r="D23" s="54" t="s">
        <v>13</v>
      </c>
      <c r="E23" s="54"/>
      <c r="F23" s="63">
        <v>0</v>
      </c>
      <c r="G23" s="63">
        <v>0.887</v>
      </c>
      <c r="H23" s="63">
        <v>0.887</v>
      </c>
      <c r="I23" s="64">
        <v>0.887</v>
      </c>
      <c r="J23" s="63">
        <v>0.887</v>
      </c>
      <c r="K23" s="21"/>
      <c r="L23" s="21"/>
      <c r="M23" s="21"/>
      <c r="N23" s="21"/>
      <c r="O23" s="21"/>
      <c r="P23" s="21"/>
    </row>
    <row r="24" spans="2:16" ht="14.25" customHeight="1" hidden="1" thickBot="1">
      <c r="B24" s="51" t="s">
        <v>28</v>
      </c>
      <c r="C24" s="51"/>
      <c r="D24" s="51"/>
      <c r="E24" s="51"/>
      <c r="F24" s="51"/>
      <c r="G24" s="51"/>
      <c r="H24" s="52"/>
      <c r="I24" s="52"/>
      <c r="J24" s="52"/>
      <c r="K24" s="21"/>
      <c r="L24" s="21"/>
      <c r="M24" s="21"/>
      <c r="N24" s="21"/>
      <c r="O24" s="21"/>
      <c r="P24" s="21"/>
    </row>
    <row r="25" spans="2:16" ht="15" customHeight="1">
      <c r="B25" s="53" t="s">
        <v>92</v>
      </c>
      <c r="C25" s="26" t="s">
        <v>29</v>
      </c>
      <c r="D25" s="54" t="s">
        <v>11</v>
      </c>
      <c r="E25" s="54" t="s">
        <v>8</v>
      </c>
      <c r="F25" s="67">
        <v>0.052</v>
      </c>
      <c r="G25" s="67" t="s">
        <v>8</v>
      </c>
      <c r="H25" s="67" t="s">
        <v>8</v>
      </c>
      <c r="I25" s="67">
        <v>0.044</v>
      </c>
      <c r="J25" s="67">
        <v>0.037</v>
      </c>
      <c r="K25" s="21"/>
      <c r="L25" s="21"/>
      <c r="M25" s="21"/>
      <c r="N25" s="21"/>
      <c r="O25" s="21"/>
      <c r="P25" s="21"/>
    </row>
    <row r="26" spans="2:16" ht="15" customHeight="1">
      <c r="B26" s="53" t="s">
        <v>86</v>
      </c>
      <c r="C26" s="26" t="s">
        <v>30</v>
      </c>
      <c r="D26" s="54" t="s">
        <v>87</v>
      </c>
      <c r="E26" s="54">
        <v>419.21</v>
      </c>
      <c r="F26" s="59">
        <v>434.04</v>
      </c>
      <c r="G26" s="57">
        <v>432.84</v>
      </c>
      <c r="H26" s="57">
        <v>432.84</v>
      </c>
      <c r="I26" s="57">
        <v>432.84</v>
      </c>
      <c r="J26" s="57">
        <v>10698.99</v>
      </c>
      <c r="K26" s="21"/>
      <c r="L26" s="21"/>
      <c r="M26" s="21"/>
      <c r="N26" s="21"/>
      <c r="O26" s="21"/>
      <c r="P26" s="21"/>
    </row>
    <row r="27" spans="2:16" ht="15" customHeight="1" hidden="1">
      <c r="B27" s="53">
        <v>3</v>
      </c>
      <c r="C27" s="26" t="s">
        <v>31</v>
      </c>
      <c r="D27" s="54" t="s">
        <v>7</v>
      </c>
      <c r="E27" s="54"/>
      <c r="F27" s="57" t="e">
        <f>F77</f>
        <v>#REF!</v>
      </c>
      <c r="G27" s="57" t="e">
        <f>G77</f>
        <v>#REF!</v>
      </c>
      <c r="H27" s="57" t="e">
        <f>H77</f>
        <v>#REF!</v>
      </c>
      <c r="I27" s="57" t="e">
        <f>I77</f>
        <v>#REF!</v>
      </c>
      <c r="J27" s="56">
        <f>J77</f>
        <v>189695.70284320766</v>
      </c>
      <c r="K27" s="21"/>
      <c r="L27" s="21"/>
      <c r="M27" s="21"/>
      <c r="N27" s="21"/>
      <c r="O27" s="21"/>
      <c r="P27" s="21"/>
    </row>
    <row r="28" spans="2:16" s="11" customFormat="1" ht="15" customHeight="1" hidden="1">
      <c r="B28" s="53">
        <v>5</v>
      </c>
      <c r="C28" s="26" t="s">
        <v>32</v>
      </c>
      <c r="D28" s="54" t="s">
        <v>33</v>
      </c>
      <c r="E28" s="54"/>
      <c r="F28" s="57">
        <v>4.96</v>
      </c>
      <c r="G28" s="57">
        <v>5.417</v>
      </c>
      <c r="H28" s="57">
        <v>4.92</v>
      </c>
      <c r="I28" s="56">
        <v>5.417</v>
      </c>
      <c r="J28" s="57">
        <v>4.92</v>
      </c>
      <c r="K28" s="13"/>
      <c r="L28" s="13"/>
      <c r="M28" s="13"/>
      <c r="N28" s="13"/>
      <c r="O28" s="13"/>
      <c r="P28" s="13"/>
    </row>
    <row r="29" spans="2:16" ht="15" customHeight="1" hidden="1">
      <c r="B29" s="53">
        <v>6</v>
      </c>
      <c r="C29" s="26" t="s">
        <v>34</v>
      </c>
      <c r="D29" s="54" t="s">
        <v>35</v>
      </c>
      <c r="E29" s="54"/>
      <c r="F29" s="57">
        <v>123.095</v>
      </c>
      <c r="G29" s="57">
        <v>118.559</v>
      </c>
      <c r="H29" s="57">
        <v>118.515</v>
      </c>
      <c r="I29" s="57">
        <v>117.056</v>
      </c>
      <c r="J29" s="57">
        <v>118.515</v>
      </c>
      <c r="K29" s="21"/>
      <c r="L29" s="21"/>
      <c r="M29" s="21"/>
      <c r="N29" s="21"/>
      <c r="O29" s="21"/>
      <c r="P29" s="21"/>
    </row>
    <row r="30" spans="2:16" ht="15" customHeight="1" hidden="1" thickBot="1">
      <c r="B30" s="53">
        <v>7</v>
      </c>
      <c r="C30" s="26" t="s">
        <v>36</v>
      </c>
      <c r="D30" s="54" t="s">
        <v>37</v>
      </c>
      <c r="E30" s="54"/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21"/>
      <c r="L30" s="21"/>
      <c r="M30" s="21"/>
      <c r="N30" s="21"/>
      <c r="O30" s="21"/>
      <c r="P30" s="21"/>
    </row>
    <row r="31" spans="2:16" ht="14.25" customHeight="1" hidden="1" thickBot="1">
      <c r="B31" s="51" t="s">
        <v>38</v>
      </c>
      <c r="C31" s="51"/>
      <c r="D31" s="51"/>
      <c r="E31" s="51"/>
      <c r="F31" s="51"/>
      <c r="G31" s="51"/>
      <c r="H31" s="52"/>
      <c r="I31" s="52"/>
      <c r="J31" s="52"/>
      <c r="K31" s="21"/>
      <c r="L31" s="21"/>
      <c r="M31" s="21"/>
      <c r="N31" s="21"/>
      <c r="O31" s="21"/>
      <c r="P31" s="21"/>
    </row>
    <row r="32" spans="2:16" ht="15" customHeight="1" hidden="1">
      <c r="B32" s="53">
        <v>1</v>
      </c>
      <c r="C32" s="26" t="s">
        <v>39</v>
      </c>
      <c r="D32" s="54" t="s">
        <v>40</v>
      </c>
      <c r="E32" s="54"/>
      <c r="F32" s="57" t="s">
        <v>77</v>
      </c>
      <c r="G32" s="57" t="e">
        <f>IF(G29=0,0,G54/G29/10)</f>
        <v>#REF!</v>
      </c>
      <c r="H32" s="57" t="e">
        <f>IF(H29=0,0,H54/H29/10)</f>
        <v>#REF!</v>
      </c>
      <c r="I32" s="57" t="e">
        <f>IF(I29=0,0,I54/I29/10)</f>
        <v>#REF!</v>
      </c>
      <c r="J32" s="57">
        <f>IF(J29=0,0,J54/J29/10)</f>
        <v>150.97896924746797</v>
      </c>
      <c r="K32" s="21"/>
      <c r="L32" s="21"/>
      <c r="M32" s="21"/>
      <c r="N32" s="21"/>
      <c r="O32" s="21"/>
      <c r="P32" s="21"/>
    </row>
    <row r="33" spans="2:16" ht="31.5" hidden="1">
      <c r="B33" s="53">
        <v>2</v>
      </c>
      <c r="C33" s="26" t="s">
        <v>41</v>
      </c>
      <c r="D33" s="54" t="s">
        <v>11</v>
      </c>
      <c r="E33" s="54"/>
      <c r="F33" s="67" t="s">
        <v>8</v>
      </c>
      <c r="G33" s="67">
        <f>IF(G34=0,0,#REF!/G34)</f>
        <v>0</v>
      </c>
      <c r="H33" s="67">
        <v>0</v>
      </c>
      <c r="I33" s="67">
        <f>IF(I34=0,0,#REF!/I34)</f>
        <v>0</v>
      </c>
      <c r="J33" s="67">
        <v>0</v>
      </c>
      <c r="K33" s="21"/>
      <c r="L33" s="21"/>
      <c r="M33" s="21"/>
      <c r="N33" s="21"/>
      <c r="O33" s="21"/>
      <c r="P33" s="21"/>
    </row>
    <row r="34" spans="2:16" s="11" customFormat="1" ht="15" customHeight="1" hidden="1">
      <c r="B34" s="53">
        <v>3</v>
      </c>
      <c r="C34" s="26" t="s">
        <v>42</v>
      </c>
      <c r="D34" s="54" t="s">
        <v>7</v>
      </c>
      <c r="E34" s="54"/>
      <c r="F34" s="57" t="s">
        <v>8</v>
      </c>
      <c r="G34" s="57">
        <v>0</v>
      </c>
      <c r="H34" s="57">
        <v>0</v>
      </c>
      <c r="I34" s="57">
        <v>0</v>
      </c>
      <c r="J34" s="57">
        <v>0</v>
      </c>
      <c r="K34" s="13"/>
      <c r="L34" s="13"/>
      <c r="M34" s="13"/>
      <c r="N34" s="13"/>
      <c r="O34" s="13"/>
      <c r="P34" s="13"/>
    </row>
    <row r="35" spans="2:16" ht="15" customHeight="1">
      <c r="B35" s="53" t="s">
        <v>90</v>
      </c>
      <c r="C35" s="26" t="s">
        <v>43</v>
      </c>
      <c r="D35" s="54" t="s">
        <v>11</v>
      </c>
      <c r="E35" s="54" t="s">
        <v>8</v>
      </c>
      <c r="F35" s="67">
        <v>0</v>
      </c>
      <c r="G35" s="67" t="s">
        <v>8</v>
      </c>
      <c r="H35" s="67" t="s">
        <v>8</v>
      </c>
      <c r="I35" s="67">
        <f>(I26-G26)/G26</f>
        <v>0</v>
      </c>
      <c r="J35" s="68">
        <v>0.1257710154992265</v>
      </c>
      <c r="K35" s="21"/>
      <c r="L35" s="21"/>
      <c r="M35" s="21"/>
      <c r="N35" s="21"/>
      <c r="O35" s="21"/>
      <c r="P35" s="21"/>
    </row>
    <row r="36" spans="2:16" ht="18.75" customHeight="1">
      <c r="B36" s="53" t="s">
        <v>91</v>
      </c>
      <c r="C36" s="69" t="s">
        <v>78</v>
      </c>
      <c r="D36" s="54" t="s">
        <v>13</v>
      </c>
      <c r="E36" s="54" t="s">
        <v>8</v>
      </c>
      <c r="F36" s="70">
        <f>(1+F25)*(1-F14)*(1+F35*F15)</f>
        <v>1.04148</v>
      </c>
      <c r="G36" s="70" t="s">
        <v>8</v>
      </c>
      <c r="H36" s="70" t="s">
        <v>8</v>
      </c>
      <c r="I36" s="70">
        <f>(1+I25)*(1-I14)*(1+I35*I15)</f>
        <v>1.01268</v>
      </c>
      <c r="J36" s="71">
        <v>1.1007738550853876</v>
      </c>
      <c r="K36" s="21"/>
      <c r="L36" s="21"/>
      <c r="M36" s="21"/>
      <c r="N36" s="21"/>
      <c r="O36" s="21"/>
      <c r="P36" s="21"/>
    </row>
    <row r="37" spans="2:16" s="11" customFormat="1" ht="15.75">
      <c r="B37" s="72"/>
      <c r="C37" s="19"/>
      <c r="D37" s="20"/>
      <c r="E37" s="20"/>
      <c r="F37" s="18"/>
      <c r="G37" s="18"/>
      <c r="H37" s="18"/>
      <c r="I37" s="18"/>
      <c r="J37" s="18"/>
      <c r="K37" s="13"/>
      <c r="L37" s="13"/>
      <c r="M37" s="13"/>
      <c r="N37" s="13"/>
      <c r="O37" s="13"/>
      <c r="P37" s="13"/>
    </row>
    <row r="38" spans="2:16" ht="14.25" customHeight="1">
      <c r="B38" s="74" t="s">
        <v>44</v>
      </c>
      <c r="C38" s="74"/>
      <c r="D38" s="74"/>
      <c r="E38" s="74"/>
      <c r="F38" s="74"/>
      <c r="G38" s="74"/>
      <c r="H38" s="74"/>
      <c r="I38" s="74"/>
      <c r="J38" s="74"/>
      <c r="K38" s="21"/>
      <c r="L38" s="21"/>
      <c r="M38" s="21"/>
      <c r="N38" s="21"/>
      <c r="O38" s="21"/>
      <c r="P38" s="21"/>
    </row>
    <row r="39" spans="2:16" ht="15" customHeight="1">
      <c r="B39" s="75" t="s">
        <v>88</v>
      </c>
      <c r="C39" s="26" t="s">
        <v>45</v>
      </c>
      <c r="D39" s="54" t="s">
        <v>7</v>
      </c>
      <c r="E39" s="33">
        <v>4099.4</v>
      </c>
      <c r="F39" s="35">
        <v>2586.8</v>
      </c>
      <c r="G39" s="34">
        <v>4056.3</v>
      </c>
      <c r="H39" s="35">
        <v>2760.1156</v>
      </c>
      <c r="I39" s="61">
        <v>4244.53</v>
      </c>
      <c r="J39" s="57">
        <v>111579.9110320856</v>
      </c>
      <c r="K39" s="23"/>
      <c r="L39" s="24"/>
      <c r="M39" s="21"/>
      <c r="N39" s="21"/>
      <c r="O39" s="21"/>
      <c r="P39" s="21"/>
    </row>
    <row r="40" spans="2:16" ht="15" customHeight="1">
      <c r="B40" s="75" t="s">
        <v>89</v>
      </c>
      <c r="C40" s="26" t="s">
        <v>46</v>
      </c>
      <c r="D40" s="54" t="s">
        <v>7</v>
      </c>
      <c r="E40" s="33">
        <v>421.5</v>
      </c>
      <c r="F40" s="35">
        <v>259.3</v>
      </c>
      <c r="G40" s="34">
        <v>512.8</v>
      </c>
      <c r="H40" s="35">
        <v>259.3</v>
      </c>
      <c r="I40" s="61">
        <v>262.59</v>
      </c>
      <c r="J40" s="57">
        <v>22919.18207738993</v>
      </c>
      <c r="K40" s="23"/>
      <c r="L40" s="24"/>
      <c r="M40" s="21"/>
      <c r="N40" s="21"/>
      <c r="O40" s="21"/>
      <c r="P40" s="21"/>
    </row>
    <row r="41" spans="2:16" ht="15" customHeight="1">
      <c r="B41" s="75" t="s">
        <v>92</v>
      </c>
      <c r="C41" s="26" t="s">
        <v>47</v>
      </c>
      <c r="D41" s="54" t="s">
        <v>7</v>
      </c>
      <c r="E41" s="33">
        <v>661.9</v>
      </c>
      <c r="F41" s="35">
        <v>0</v>
      </c>
      <c r="G41" s="34">
        <v>840.1</v>
      </c>
      <c r="H41" s="35">
        <v>0</v>
      </c>
      <c r="I41" s="61">
        <v>449.02</v>
      </c>
      <c r="J41" s="57">
        <v>27332.19228892936</v>
      </c>
      <c r="K41" s="23"/>
      <c r="L41" s="24"/>
      <c r="M41" s="21"/>
      <c r="N41" s="21"/>
      <c r="O41" s="21"/>
      <c r="P41" s="21"/>
    </row>
    <row r="42" spans="2:16" ht="15" customHeight="1">
      <c r="B42" s="75" t="s">
        <v>86</v>
      </c>
      <c r="C42" s="26" t="s">
        <v>48</v>
      </c>
      <c r="D42" s="54" t="s">
        <v>7</v>
      </c>
      <c r="E42" s="33" t="e">
        <f>E43+E44+E51+#REF!+E52+#REF!+E53+#REF!</f>
        <v>#REF!</v>
      </c>
      <c r="F42" s="35" t="e">
        <f>F43+F44+F51+#REF!+F52+#REF!+F53+#REF!</f>
        <v>#REF!</v>
      </c>
      <c r="G42" s="34" t="e">
        <f>G43+G44+G51+#REF!+G52+#REF!+G53+#REF!</f>
        <v>#REF!</v>
      </c>
      <c r="H42" s="35" t="e">
        <f>H43+H44+H51+#REF!+H52+#REF!+H53+#REF!</f>
        <v>#REF!</v>
      </c>
      <c r="I42" s="61" t="e">
        <f>I43+I44+I51+#REF!+I52+#REF!+I53+#REF!</f>
        <v>#REF!</v>
      </c>
      <c r="J42" s="76">
        <f>J43+J44+J45+J46+J47+J48+J49+J50</f>
        <v>15321.397207251332</v>
      </c>
      <c r="K42" s="23"/>
      <c r="L42" s="24"/>
      <c r="M42" s="21"/>
      <c r="N42" s="21"/>
      <c r="O42" s="21"/>
      <c r="P42" s="21"/>
    </row>
    <row r="43" spans="2:16" ht="15" customHeight="1">
      <c r="B43" s="75" t="s">
        <v>99</v>
      </c>
      <c r="C43" s="26" t="s">
        <v>49</v>
      </c>
      <c r="D43" s="54" t="s">
        <v>7</v>
      </c>
      <c r="E43" s="33">
        <v>435.2</v>
      </c>
      <c r="F43" s="35">
        <v>165.6</v>
      </c>
      <c r="G43" s="34">
        <v>433.9</v>
      </c>
      <c r="H43" s="35">
        <v>277.5</v>
      </c>
      <c r="I43" s="61">
        <v>281.01</v>
      </c>
      <c r="J43" s="57">
        <v>3583.9723225697803</v>
      </c>
      <c r="K43" s="23"/>
      <c r="L43" s="24"/>
      <c r="M43" s="21"/>
      <c r="N43" s="21"/>
      <c r="O43" s="21"/>
      <c r="P43" s="21"/>
    </row>
    <row r="44" spans="2:16" ht="31.5" customHeight="1">
      <c r="B44" s="75" t="s">
        <v>100</v>
      </c>
      <c r="C44" s="26" t="s">
        <v>80</v>
      </c>
      <c r="D44" s="54" t="s">
        <v>7</v>
      </c>
      <c r="E44" s="33">
        <f>SUM(E45:E50)</f>
        <v>142.6</v>
      </c>
      <c r="F44" s="35">
        <f>SUM(F45:F50)</f>
        <v>127</v>
      </c>
      <c r="G44" s="34">
        <f>SUM(G45:G50)</f>
        <v>192.8</v>
      </c>
      <c r="H44" s="35">
        <f>SUM(H45:H50)</f>
        <v>174.4454</v>
      </c>
      <c r="I44" s="61">
        <f>SUM(I45:I50)</f>
        <v>176.66</v>
      </c>
      <c r="J44" s="77">
        <v>6011.489850794154</v>
      </c>
      <c r="K44" s="23"/>
      <c r="L44" s="24"/>
      <c r="M44" s="21"/>
      <c r="N44" s="21"/>
      <c r="O44" s="21"/>
      <c r="P44" s="21"/>
    </row>
    <row r="45" spans="2:16" ht="15" customHeight="1">
      <c r="B45" s="75" t="s">
        <v>101</v>
      </c>
      <c r="C45" s="26" t="s">
        <v>50</v>
      </c>
      <c r="D45" s="54" t="s">
        <v>7</v>
      </c>
      <c r="E45" s="33">
        <v>0</v>
      </c>
      <c r="F45" s="35">
        <v>0</v>
      </c>
      <c r="G45" s="34">
        <v>0</v>
      </c>
      <c r="H45" s="35">
        <v>0</v>
      </c>
      <c r="I45" s="61">
        <v>0</v>
      </c>
      <c r="J45" s="57">
        <v>3254.9871116594663</v>
      </c>
      <c r="K45" s="23"/>
      <c r="L45" s="24"/>
      <c r="M45" s="21"/>
      <c r="N45" s="21"/>
      <c r="O45" s="21"/>
      <c r="P45" s="21"/>
    </row>
    <row r="46" spans="2:16" ht="15" customHeight="1">
      <c r="B46" s="75" t="s">
        <v>51</v>
      </c>
      <c r="C46" s="26" t="s">
        <v>52</v>
      </c>
      <c r="D46" s="54" t="s">
        <v>7</v>
      </c>
      <c r="E46" s="33">
        <v>121.5</v>
      </c>
      <c r="F46" s="35">
        <v>127</v>
      </c>
      <c r="G46" s="34">
        <v>136</v>
      </c>
      <c r="H46" s="35">
        <v>148.1254</v>
      </c>
      <c r="I46" s="61">
        <v>150.01</v>
      </c>
      <c r="J46" s="57">
        <v>63.93918689111765</v>
      </c>
      <c r="K46" s="24"/>
      <c r="L46" s="24"/>
      <c r="M46" s="21"/>
      <c r="N46" s="21"/>
      <c r="O46" s="21"/>
      <c r="P46" s="21"/>
    </row>
    <row r="47" spans="2:16" ht="15" customHeight="1">
      <c r="B47" s="75" t="s">
        <v>102</v>
      </c>
      <c r="C47" s="26" t="s">
        <v>53</v>
      </c>
      <c r="D47" s="54" t="s">
        <v>7</v>
      </c>
      <c r="E47" s="33">
        <v>0</v>
      </c>
      <c r="F47" s="35">
        <v>0</v>
      </c>
      <c r="G47" s="34">
        <v>0</v>
      </c>
      <c r="H47" s="35">
        <v>0</v>
      </c>
      <c r="I47" s="61">
        <v>0</v>
      </c>
      <c r="J47" s="57">
        <v>771.2513454486677</v>
      </c>
      <c r="K47" s="24"/>
      <c r="L47" s="24"/>
      <c r="M47" s="21"/>
      <c r="N47" s="21"/>
      <c r="O47" s="21"/>
      <c r="P47" s="21"/>
    </row>
    <row r="48" spans="2:16" ht="15" customHeight="1">
      <c r="B48" s="75" t="s">
        <v>103</v>
      </c>
      <c r="C48" s="26" t="s">
        <v>54</v>
      </c>
      <c r="D48" s="54" t="s">
        <v>7</v>
      </c>
      <c r="E48" s="33">
        <v>0</v>
      </c>
      <c r="F48" s="35">
        <v>0</v>
      </c>
      <c r="G48" s="34">
        <v>0</v>
      </c>
      <c r="H48" s="35">
        <v>0</v>
      </c>
      <c r="I48" s="61">
        <v>0</v>
      </c>
      <c r="J48" s="57">
        <v>241.03866360349605</v>
      </c>
      <c r="K48" s="24"/>
      <c r="L48" s="24"/>
      <c r="M48" s="21"/>
      <c r="N48" s="21"/>
      <c r="O48" s="21"/>
      <c r="P48" s="21"/>
    </row>
    <row r="49" spans="2:16" ht="15" customHeight="1">
      <c r="B49" s="75" t="s">
        <v>104</v>
      </c>
      <c r="C49" s="26" t="s">
        <v>55</v>
      </c>
      <c r="D49" s="54" t="s">
        <v>7</v>
      </c>
      <c r="E49" s="33">
        <v>21.1</v>
      </c>
      <c r="F49" s="35">
        <v>0</v>
      </c>
      <c r="G49" s="34">
        <v>22.5</v>
      </c>
      <c r="H49" s="35">
        <v>0</v>
      </c>
      <c r="I49" s="61">
        <v>0</v>
      </c>
      <c r="J49" s="57">
        <v>238.02266432568615</v>
      </c>
      <c r="K49" s="24"/>
      <c r="L49" s="24"/>
      <c r="M49" s="21"/>
      <c r="N49" s="21"/>
      <c r="O49" s="21"/>
      <c r="P49" s="21"/>
    </row>
    <row r="50" spans="2:16" ht="15" customHeight="1">
      <c r="B50" s="75" t="s">
        <v>105</v>
      </c>
      <c r="C50" s="26" t="s">
        <v>56</v>
      </c>
      <c r="D50" s="54" t="s">
        <v>7</v>
      </c>
      <c r="E50" s="33">
        <v>0</v>
      </c>
      <c r="F50" s="35">
        <v>0</v>
      </c>
      <c r="G50" s="34">
        <v>34.3</v>
      </c>
      <c r="H50" s="35">
        <v>26.32</v>
      </c>
      <c r="I50" s="61">
        <v>26.65</v>
      </c>
      <c r="J50" s="57">
        <v>1156.696061958964</v>
      </c>
      <c r="K50" s="21"/>
      <c r="L50" s="21"/>
      <c r="M50" s="21"/>
      <c r="N50" s="21"/>
      <c r="O50" s="21"/>
      <c r="P50" s="21"/>
    </row>
    <row r="51" spans="2:16" ht="15" customHeight="1">
      <c r="B51" s="75" t="s">
        <v>90</v>
      </c>
      <c r="C51" s="26" t="s">
        <v>126</v>
      </c>
      <c r="D51" s="54" t="s">
        <v>7</v>
      </c>
      <c r="E51" s="33">
        <v>191.3</v>
      </c>
      <c r="F51" s="35">
        <v>218.4</v>
      </c>
      <c r="G51" s="34">
        <v>192.9</v>
      </c>
      <c r="H51" s="35">
        <v>264.31</v>
      </c>
      <c r="I51" s="61">
        <v>267.66</v>
      </c>
      <c r="J51" s="76">
        <v>1780.0427979804294</v>
      </c>
      <c r="K51" s="21"/>
      <c r="L51" s="21"/>
      <c r="M51" s="21"/>
      <c r="N51" s="21"/>
      <c r="O51" s="21"/>
      <c r="P51" s="21"/>
    </row>
    <row r="52" spans="2:16" ht="15.75" customHeight="1" hidden="1" thickBot="1">
      <c r="B52" s="75" t="s">
        <v>106</v>
      </c>
      <c r="C52" s="26" t="s">
        <v>107</v>
      </c>
      <c r="D52" s="54" t="s">
        <v>7</v>
      </c>
      <c r="E52" s="33">
        <v>0</v>
      </c>
      <c r="F52" s="35">
        <v>0</v>
      </c>
      <c r="G52" s="34">
        <v>0</v>
      </c>
      <c r="H52" s="35">
        <v>0</v>
      </c>
      <c r="I52" s="61">
        <v>0</v>
      </c>
      <c r="J52" s="57">
        <v>1617.0831</v>
      </c>
      <c r="K52" s="21"/>
      <c r="L52" s="21"/>
      <c r="M52" s="21"/>
      <c r="N52" s="21"/>
      <c r="O52" s="21"/>
      <c r="P52" s="21"/>
    </row>
    <row r="53" spans="2:10" ht="15" customHeight="1" hidden="1">
      <c r="B53" s="75"/>
      <c r="C53" s="26"/>
      <c r="D53" s="54" t="s">
        <v>7</v>
      </c>
      <c r="E53" s="33">
        <v>0</v>
      </c>
      <c r="F53" s="35">
        <v>0</v>
      </c>
      <c r="G53" s="34">
        <v>0</v>
      </c>
      <c r="H53" s="35">
        <v>0</v>
      </c>
      <c r="I53" s="61">
        <f>G53*$I$36</f>
        <v>0</v>
      </c>
      <c r="J53" s="76"/>
    </row>
    <row r="54" spans="2:10" s="11" customFormat="1" ht="15" customHeight="1">
      <c r="B54" s="75"/>
      <c r="C54" s="69" t="s">
        <v>57</v>
      </c>
      <c r="D54" s="78" t="s">
        <v>7</v>
      </c>
      <c r="E54" s="32" t="e">
        <f>E39+E40+E41+E42+#REF!+#REF!-0.1</f>
        <v>#REF!</v>
      </c>
      <c r="F54" s="32" t="e">
        <f>F39+F40+F41+F42+#REF!+#REF!+0.1</f>
        <v>#REF!</v>
      </c>
      <c r="G54" s="32" t="e">
        <f>G39+G40+G41+G42+#REF!+#REF!+0.1</f>
        <v>#REF!</v>
      </c>
      <c r="H54" s="32" t="e">
        <f>H39+H40+H41+H42+#REF!+#REF!</f>
        <v>#REF!</v>
      </c>
      <c r="I54" s="32" t="e">
        <f>I39+I40+I41+I42+#REF!+#REF!</f>
        <v>#REF!</v>
      </c>
      <c r="J54" s="79">
        <f>J39+J40+J41+J42+J51</f>
        <v>178932.72540363666</v>
      </c>
    </row>
    <row r="55" spans="2:10" s="11" customFormat="1" ht="15" customHeight="1">
      <c r="B55" s="80"/>
      <c r="C55" s="73"/>
      <c r="D55" s="17"/>
      <c r="E55" s="15"/>
      <c r="F55" s="15"/>
      <c r="G55" s="15"/>
      <c r="H55" s="15"/>
      <c r="I55" s="15"/>
      <c r="J55" s="16"/>
    </row>
    <row r="56" spans="2:10" s="11" customFormat="1" ht="14.25" customHeight="1">
      <c r="B56" s="81" t="s">
        <v>58</v>
      </c>
      <c r="C56" s="81"/>
      <c r="D56" s="81"/>
      <c r="E56" s="81"/>
      <c r="F56" s="81"/>
      <c r="G56" s="81"/>
      <c r="H56" s="81"/>
      <c r="I56" s="81"/>
      <c r="J56" s="81"/>
    </row>
    <row r="57" spans="2:10" s="11" customFormat="1" ht="15" customHeight="1">
      <c r="B57" s="75" t="s">
        <v>88</v>
      </c>
      <c r="C57" s="26" t="s">
        <v>59</v>
      </c>
      <c r="D57" s="54" t="s">
        <v>7</v>
      </c>
      <c r="E57" s="59">
        <v>12195</v>
      </c>
      <c r="F57" s="57">
        <v>3008.1</v>
      </c>
      <c r="G57" s="57">
        <v>4972.4</v>
      </c>
      <c r="H57" s="59">
        <v>3008.1</v>
      </c>
      <c r="I57" s="57">
        <v>4916.94</v>
      </c>
      <c r="J57" s="57">
        <v>31476.98</v>
      </c>
    </row>
    <row r="58" spans="2:10" s="11" customFormat="1" ht="15" customHeight="1">
      <c r="B58" s="75" t="s">
        <v>89</v>
      </c>
      <c r="C58" s="26" t="s">
        <v>60</v>
      </c>
      <c r="D58" s="54" t="s">
        <v>7</v>
      </c>
      <c r="E58" s="59">
        <v>1218.9</v>
      </c>
      <c r="F58" s="57">
        <v>786.4</v>
      </c>
      <c r="G58" s="57">
        <v>1207.3</v>
      </c>
      <c r="H58" s="59">
        <v>833.55</v>
      </c>
      <c r="I58" s="82">
        <f>I39*0.302</f>
        <v>1281.8480599999998</v>
      </c>
      <c r="J58" s="83">
        <v>32425.122145924077</v>
      </c>
    </row>
    <row r="59" spans="2:10" s="11" customFormat="1" ht="32.25" customHeight="1">
      <c r="B59" s="84" t="s">
        <v>92</v>
      </c>
      <c r="C59" s="27" t="s">
        <v>108</v>
      </c>
      <c r="D59" s="54" t="s">
        <v>7</v>
      </c>
      <c r="E59" s="59"/>
      <c r="F59" s="57"/>
      <c r="G59" s="57"/>
      <c r="H59" s="59"/>
      <c r="I59" s="82"/>
      <c r="J59" s="83">
        <v>7533.36</v>
      </c>
    </row>
    <row r="60" spans="2:10" s="11" customFormat="1" ht="15.75" customHeight="1">
      <c r="B60" s="84" t="s">
        <v>86</v>
      </c>
      <c r="C60" s="27" t="s">
        <v>109</v>
      </c>
      <c r="D60" s="54" t="s">
        <v>7</v>
      </c>
      <c r="E60" s="59"/>
      <c r="F60" s="57"/>
      <c r="G60" s="57"/>
      <c r="H60" s="59"/>
      <c r="I60" s="82"/>
      <c r="J60" s="85">
        <f>J61+J62+J63+J64+J65</f>
        <v>18310.6</v>
      </c>
    </row>
    <row r="61" spans="2:10" s="11" customFormat="1" ht="15.75" customHeight="1">
      <c r="B61" s="84" t="s">
        <v>99</v>
      </c>
      <c r="C61" s="27" t="s">
        <v>61</v>
      </c>
      <c r="D61" s="54" t="s">
        <v>7</v>
      </c>
      <c r="E61" s="59"/>
      <c r="F61" s="57"/>
      <c r="G61" s="57"/>
      <c r="H61" s="59"/>
      <c r="I61" s="82"/>
      <c r="J61" s="83">
        <v>215.58</v>
      </c>
    </row>
    <row r="62" spans="2:10" s="11" customFormat="1" ht="15.75" customHeight="1">
      <c r="B62" s="84" t="s">
        <v>100</v>
      </c>
      <c r="C62" s="27" t="s">
        <v>63</v>
      </c>
      <c r="D62" s="54" t="s">
        <v>7</v>
      </c>
      <c r="E62" s="59"/>
      <c r="F62" s="57"/>
      <c r="G62" s="57"/>
      <c r="H62" s="59"/>
      <c r="I62" s="82"/>
      <c r="J62" s="83">
        <v>5073.36</v>
      </c>
    </row>
    <row r="63" spans="2:10" s="11" customFormat="1" ht="15.75" customHeight="1">
      <c r="B63" s="84" t="s">
        <v>101</v>
      </c>
      <c r="C63" s="27" t="s">
        <v>65</v>
      </c>
      <c r="D63" s="54" t="s">
        <v>7</v>
      </c>
      <c r="E63" s="59"/>
      <c r="F63" s="57"/>
      <c r="G63" s="57"/>
      <c r="H63" s="59"/>
      <c r="I63" s="82"/>
      <c r="J63" s="83">
        <v>12996.58</v>
      </c>
    </row>
    <row r="64" spans="2:10" s="11" customFormat="1" ht="15.75" customHeight="1">
      <c r="B64" s="84" t="s">
        <v>51</v>
      </c>
      <c r="C64" s="27" t="s">
        <v>62</v>
      </c>
      <c r="D64" s="54" t="s">
        <v>7</v>
      </c>
      <c r="E64" s="59"/>
      <c r="F64" s="57"/>
      <c r="G64" s="57"/>
      <c r="H64" s="59"/>
      <c r="I64" s="82"/>
      <c r="J64" s="83">
        <v>17.8</v>
      </c>
    </row>
    <row r="65" spans="2:10" s="11" customFormat="1" ht="15.75" customHeight="1">
      <c r="B65" s="84" t="s">
        <v>102</v>
      </c>
      <c r="C65" s="27" t="s">
        <v>64</v>
      </c>
      <c r="D65" s="54" t="s">
        <v>7</v>
      </c>
      <c r="E65" s="59"/>
      <c r="F65" s="57"/>
      <c r="G65" s="57"/>
      <c r="H65" s="59"/>
      <c r="I65" s="82"/>
      <c r="J65" s="83">
        <v>7.28</v>
      </c>
    </row>
    <row r="66" spans="2:10" s="11" customFormat="1" ht="15.75" customHeight="1">
      <c r="B66" s="75" t="s">
        <v>90</v>
      </c>
      <c r="C66" s="27" t="s">
        <v>66</v>
      </c>
      <c r="D66" s="54" t="s">
        <v>7</v>
      </c>
      <c r="E66" s="59"/>
      <c r="F66" s="57"/>
      <c r="G66" s="57"/>
      <c r="H66" s="59"/>
      <c r="I66" s="82"/>
      <c r="J66" s="83">
        <v>17480</v>
      </c>
    </row>
    <row r="67" spans="2:10" s="11" customFormat="1" ht="15.75" customHeight="1">
      <c r="B67" s="75" t="s">
        <v>91</v>
      </c>
      <c r="C67" s="27" t="s">
        <v>110</v>
      </c>
      <c r="D67" s="54" t="s">
        <v>7</v>
      </c>
      <c r="E67" s="59"/>
      <c r="F67" s="57"/>
      <c r="G67" s="57"/>
      <c r="H67" s="59"/>
      <c r="I67" s="82"/>
      <c r="J67" s="83">
        <v>18730.235910630967</v>
      </c>
    </row>
    <row r="68" spans="2:10" s="11" customFormat="1" ht="34.5" customHeight="1">
      <c r="B68" s="75" t="s">
        <v>112</v>
      </c>
      <c r="C68" s="27" t="s">
        <v>111</v>
      </c>
      <c r="D68" s="54" t="s">
        <v>7</v>
      </c>
      <c r="E68" s="59"/>
      <c r="F68" s="57"/>
      <c r="G68" s="57"/>
      <c r="H68" s="59"/>
      <c r="I68" s="82"/>
      <c r="J68" s="83">
        <f>J69</f>
        <v>15071.381056798993</v>
      </c>
    </row>
    <row r="69" spans="2:10" s="11" customFormat="1" ht="18.75" customHeight="1">
      <c r="B69" s="75" t="s">
        <v>113</v>
      </c>
      <c r="C69" s="86" t="s">
        <v>136</v>
      </c>
      <c r="D69" s="54" t="s">
        <v>7</v>
      </c>
      <c r="E69" s="59"/>
      <c r="F69" s="57"/>
      <c r="G69" s="57"/>
      <c r="H69" s="59"/>
      <c r="I69" s="82"/>
      <c r="J69" s="83">
        <v>15071.381056798993</v>
      </c>
    </row>
    <row r="70" spans="2:10" s="11" customFormat="1" ht="61.5" customHeight="1">
      <c r="B70" s="75" t="s">
        <v>115</v>
      </c>
      <c r="C70" s="26" t="s">
        <v>130</v>
      </c>
      <c r="D70" s="54" t="s">
        <v>7</v>
      </c>
      <c r="E70" s="59"/>
      <c r="F70" s="57"/>
      <c r="G70" s="57"/>
      <c r="H70" s="59"/>
      <c r="I70" s="82"/>
      <c r="J70" s="83">
        <v>9000.43</v>
      </c>
    </row>
    <row r="71" spans="2:10" s="11" customFormat="1" ht="42" customHeight="1">
      <c r="B71" s="75" t="s">
        <v>116</v>
      </c>
      <c r="C71" s="26" t="s">
        <v>129</v>
      </c>
      <c r="D71" s="54" t="s">
        <v>7</v>
      </c>
      <c r="E71" s="59"/>
      <c r="F71" s="57"/>
      <c r="G71" s="57"/>
      <c r="H71" s="59"/>
      <c r="I71" s="82"/>
      <c r="J71" s="83">
        <v>39.78</v>
      </c>
    </row>
    <row r="72" spans="2:10" s="11" customFormat="1" ht="15.75" customHeight="1">
      <c r="B72" s="75" t="s">
        <v>119</v>
      </c>
      <c r="C72" s="27" t="s">
        <v>114</v>
      </c>
      <c r="D72" s="54" t="s">
        <v>7</v>
      </c>
      <c r="E72" s="59"/>
      <c r="F72" s="57"/>
      <c r="G72" s="57"/>
      <c r="H72" s="59"/>
      <c r="I72" s="82"/>
      <c r="J72" s="83">
        <v>1615</v>
      </c>
    </row>
    <row r="73" spans="2:10" s="11" customFormat="1" ht="15.75" customHeight="1" hidden="1">
      <c r="B73" s="75" t="s">
        <v>119</v>
      </c>
      <c r="C73" s="27" t="s">
        <v>117</v>
      </c>
      <c r="D73" s="54" t="s">
        <v>7</v>
      </c>
      <c r="E73" s="59"/>
      <c r="F73" s="57"/>
      <c r="G73" s="57"/>
      <c r="H73" s="59"/>
      <c r="I73" s="82"/>
      <c r="J73" s="83">
        <f>J74</f>
        <v>4627.778379472603</v>
      </c>
    </row>
    <row r="74" spans="2:10" s="11" customFormat="1" ht="15.75" customHeight="1">
      <c r="B74" s="75" t="s">
        <v>120</v>
      </c>
      <c r="C74" s="27" t="s">
        <v>118</v>
      </c>
      <c r="D74" s="54" t="s">
        <v>7</v>
      </c>
      <c r="E74" s="59"/>
      <c r="F74" s="57"/>
      <c r="G74" s="57"/>
      <c r="H74" s="59"/>
      <c r="I74" s="82"/>
      <c r="J74" s="83">
        <v>4627.778379472603</v>
      </c>
    </row>
    <row r="75" spans="2:10" s="11" customFormat="1" ht="15.75" customHeight="1">
      <c r="B75" s="75" t="s">
        <v>127</v>
      </c>
      <c r="C75" s="27" t="s">
        <v>137</v>
      </c>
      <c r="D75" s="54" t="s">
        <v>7</v>
      </c>
      <c r="E75" s="59"/>
      <c r="F75" s="57"/>
      <c r="G75" s="57"/>
      <c r="H75" s="59"/>
      <c r="I75" s="82"/>
      <c r="J75" s="83">
        <v>1499.07</v>
      </c>
    </row>
    <row r="76" spans="2:10" s="11" customFormat="1" ht="15.75" customHeight="1">
      <c r="B76" s="75" t="s">
        <v>128</v>
      </c>
      <c r="C76" s="87" t="s">
        <v>147</v>
      </c>
      <c r="D76" s="54" t="s">
        <v>7</v>
      </c>
      <c r="E76" s="59"/>
      <c r="F76" s="57"/>
      <c r="G76" s="57"/>
      <c r="H76" s="59"/>
      <c r="I76" s="82"/>
      <c r="J76" s="85">
        <v>31885.965350381</v>
      </c>
    </row>
    <row r="77" spans="2:10" s="11" customFormat="1" ht="15" customHeight="1">
      <c r="B77" s="75"/>
      <c r="C77" s="69" t="s">
        <v>67</v>
      </c>
      <c r="D77" s="78" t="s">
        <v>7</v>
      </c>
      <c r="E77" s="88" t="e">
        <f>E57+E58+#REF!+#REF!+#REF!+#REF!+#REF!</f>
        <v>#REF!</v>
      </c>
      <c r="F77" s="89" t="e">
        <f>F57+F58+#REF!+#REF!+#REF!+#REF!+#REF!</f>
        <v>#REF!</v>
      </c>
      <c r="G77" s="89" t="e">
        <f>G57+G58+#REF!+#REF!+#REF!+#REF!+#REF!</f>
        <v>#REF!</v>
      </c>
      <c r="H77" s="88" t="e">
        <f>H57+H58+#REF!+#REF!+#REF!+#REF!+#REF!+#REF!+#REF!+#REF!</f>
        <v>#REF!</v>
      </c>
      <c r="I77" s="88" t="e">
        <f>I57+I58+#REF!+#REF!+#REF!+#REF!+#REF!+#REF!+#REF!+#REF!</f>
        <v>#REF!</v>
      </c>
      <c r="J77" s="89">
        <f>J57+J58+J59+J60+J66+J67+J68+J70+J71+J72+J74+J75+J76</f>
        <v>189695.70284320766</v>
      </c>
    </row>
    <row r="78" spans="2:10" s="11" customFormat="1" ht="15" customHeight="1">
      <c r="B78" s="29"/>
      <c r="C78" s="19"/>
      <c r="D78" s="17"/>
      <c r="E78" s="28"/>
      <c r="F78" s="15"/>
      <c r="G78" s="15"/>
      <c r="H78" s="28"/>
      <c r="I78" s="28"/>
      <c r="J78" s="15"/>
    </row>
    <row r="79" spans="2:10" s="11" customFormat="1" ht="14.25" customHeight="1">
      <c r="B79" s="81" t="s">
        <v>68</v>
      </c>
      <c r="C79" s="81"/>
      <c r="D79" s="81"/>
      <c r="E79" s="81"/>
      <c r="F79" s="81"/>
      <c r="G79" s="81"/>
      <c r="H79" s="81"/>
      <c r="I79" s="81"/>
      <c r="J79" s="81"/>
    </row>
    <row r="80" spans="2:10" ht="15" customHeight="1" hidden="1">
      <c r="B80" s="53" t="s">
        <v>88</v>
      </c>
      <c r="C80" s="26" t="s">
        <v>74</v>
      </c>
      <c r="D80" s="54" t="s">
        <v>7</v>
      </c>
      <c r="E80" s="35" t="e">
        <f aca="true" t="shared" si="0" ref="E80:J80">E54</f>
        <v>#REF!</v>
      </c>
      <c r="F80" s="35" t="e">
        <f t="shared" si="0"/>
        <v>#REF!</v>
      </c>
      <c r="G80" s="34" t="e">
        <f t="shared" si="0"/>
        <v>#REF!</v>
      </c>
      <c r="H80" s="35" t="e">
        <f t="shared" si="0"/>
        <v>#REF!</v>
      </c>
      <c r="I80" s="90" t="e">
        <f t="shared" si="0"/>
        <v>#REF!</v>
      </c>
      <c r="J80" s="91">
        <f t="shared" si="0"/>
        <v>178932.72540363666</v>
      </c>
    </row>
    <row r="81" spans="2:10" ht="15" customHeight="1" hidden="1">
      <c r="B81" s="53" t="s">
        <v>89</v>
      </c>
      <c r="C81" s="26" t="s">
        <v>75</v>
      </c>
      <c r="D81" s="54" t="s">
        <v>7</v>
      </c>
      <c r="E81" s="33" t="e">
        <f aca="true" t="shared" si="1" ref="E81:J81">E77</f>
        <v>#REF!</v>
      </c>
      <c r="F81" s="35" t="e">
        <f t="shared" si="1"/>
        <v>#REF!</v>
      </c>
      <c r="G81" s="34" t="e">
        <f t="shared" si="1"/>
        <v>#REF!</v>
      </c>
      <c r="H81" s="35" t="e">
        <f t="shared" si="1"/>
        <v>#REF!</v>
      </c>
      <c r="I81" s="90" t="e">
        <f t="shared" si="1"/>
        <v>#REF!</v>
      </c>
      <c r="J81" s="91">
        <f t="shared" si="1"/>
        <v>189695.70284320766</v>
      </c>
    </row>
    <row r="82" spans="2:10" ht="31.5" hidden="1">
      <c r="B82" s="53">
        <v>3</v>
      </c>
      <c r="C82" s="26" t="s">
        <v>76</v>
      </c>
      <c r="D82" s="54" t="s">
        <v>7</v>
      </c>
      <c r="E82" s="92"/>
      <c r="F82" s="35">
        <v>0</v>
      </c>
      <c r="G82" s="34">
        <v>0</v>
      </c>
      <c r="H82" s="35">
        <v>0</v>
      </c>
      <c r="I82" s="90">
        <v>0</v>
      </c>
      <c r="J82" s="91">
        <v>0</v>
      </c>
    </row>
    <row r="83" spans="2:11" ht="19.5" customHeight="1">
      <c r="B83" s="93" t="s">
        <v>88</v>
      </c>
      <c r="C83" s="69" t="s">
        <v>68</v>
      </c>
      <c r="D83" s="78" t="s">
        <v>7</v>
      </c>
      <c r="E83" s="30">
        <v>0</v>
      </c>
      <c r="F83" s="30">
        <v>0</v>
      </c>
      <c r="G83" s="31">
        <v>0</v>
      </c>
      <c r="H83" s="32">
        <v>-240.624</v>
      </c>
      <c r="I83" s="94">
        <v>0</v>
      </c>
      <c r="J83" s="95">
        <f>J84+J85+J86+J89+J90</f>
        <v>31989.775596914464</v>
      </c>
      <c r="K83" s="25"/>
    </row>
    <row r="84" spans="2:10" ht="16.5" customHeight="1">
      <c r="B84" s="53" t="s">
        <v>93</v>
      </c>
      <c r="C84" s="27" t="s">
        <v>69</v>
      </c>
      <c r="D84" s="54" t="s">
        <v>7</v>
      </c>
      <c r="E84" s="33">
        <v>0</v>
      </c>
      <c r="F84" s="33">
        <v>0</v>
      </c>
      <c r="G84" s="34">
        <v>0</v>
      </c>
      <c r="H84" s="35">
        <v>0</v>
      </c>
      <c r="I84" s="90">
        <v>0</v>
      </c>
      <c r="J84" s="96">
        <v>14109.270608650026</v>
      </c>
    </row>
    <row r="85" spans="2:10" ht="18.75" customHeight="1">
      <c r="B85" s="53" t="s">
        <v>94</v>
      </c>
      <c r="C85" s="27" t="s">
        <v>70</v>
      </c>
      <c r="D85" s="54" t="s">
        <v>7</v>
      </c>
      <c r="E85" s="33">
        <v>0</v>
      </c>
      <c r="F85" s="33">
        <v>0</v>
      </c>
      <c r="G85" s="34">
        <v>0</v>
      </c>
      <c r="H85" s="35">
        <v>0</v>
      </c>
      <c r="I85" s="90">
        <v>0</v>
      </c>
      <c r="J85" s="96">
        <v>-1450.325772252325</v>
      </c>
    </row>
    <row r="86" spans="2:10" ht="31.5" customHeight="1">
      <c r="B86" s="53" t="s">
        <v>95</v>
      </c>
      <c r="C86" s="27" t="s">
        <v>71</v>
      </c>
      <c r="D86" s="54" t="s">
        <v>7</v>
      </c>
      <c r="E86" s="33">
        <v>0</v>
      </c>
      <c r="F86" s="33">
        <v>0</v>
      </c>
      <c r="G86" s="34">
        <v>0</v>
      </c>
      <c r="H86" s="35">
        <v>0</v>
      </c>
      <c r="I86" s="90">
        <v>0</v>
      </c>
      <c r="J86" s="96">
        <f>J87+J88</f>
        <v>43258.752680516765</v>
      </c>
    </row>
    <row r="87" spans="2:10" ht="23.25" customHeight="1">
      <c r="B87" s="53" t="s">
        <v>140</v>
      </c>
      <c r="C87" s="27" t="s">
        <v>138</v>
      </c>
      <c r="D87" s="54" t="s">
        <v>7</v>
      </c>
      <c r="E87" s="33"/>
      <c r="F87" s="33"/>
      <c r="G87" s="34"/>
      <c r="H87" s="35"/>
      <c r="I87" s="90"/>
      <c r="J87" s="96">
        <v>5503.12</v>
      </c>
    </row>
    <row r="88" spans="2:10" ht="21.75" customHeight="1">
      <c r="B88" s="53" t="s">
        <v>141</v>
      </c>
      <c r="C88" s="27" t="s">
        <v>139</v>
      </c>
      <c r="D88" s="54" t="s">
        <v>7</v>
      </c>
      <c r="E88" s="33"/>
      <c r="F88" s="33"/>
      <c r="G88" s="34"/>
      <c r="H88" s="35"/>
      <c r="I88" s="90"/>
      <c r="J88" s="96">
        <v>37755.63268051676</v>
      </c>
    </row>
    <row r="89" spans="2:10" ht="35.25" customHeight="1">
      <c r="B89" s="53" t="s">
        <v>96</v>
      </c>
      <c r="C89" s="27" t="s">
        <v>72</v>
      </c>
      <c r="D89" s="54" t="s">
        <v>7</v>
      </c>
      <c r="E89" s="33">
        <v>0</v>
      </c>
      <c r="F89" s="33">
        <v>0</v>
      </c>
      <c r="G89" s="34">
        <v>0</v>
      </c>
      <c r="H89" s="35">
        <v>0</v>
      </c>
      <c r="I89" s="90">
        <v>0</v>
      </c>
      <c r="J89" s="96">
        <v>-32916.19</v>
      </c>
    </row>
    <row r="90" spans="2:10" ht="35.25" customHeight="1">
      <c r="B90" s="53" t="s">
        <v>97</v>
      </c>
      <c r="C90" s="27" t="s">
        <v>73</v>
      </c>
      <c r="D90" s="54" t="s">
        <v>7</v>
      </c>
      <c r="E90" s="33">
        <v>0</v>
      </c>
      <c r="F90" s="33">
        <v>0</v>
      </c>
      <c r="G90" s="34">
        <v>0</v>
      </c>
      <c r="H90" s="35">
        <v>0</v>
      </c>
      <c r="I90" s="90">
        <v>0</v>
      </c>
      <c r="J90" s="96">
        <f>J91+J92</f>
        <v>8988.26808</v>
      </c>
    </row>
    <row r="91" spans="2:10" ht="21" customHeight="1">
      <c r="B91" s="53" t="s">
        <v>142</v>
      </c>
      <c r="C91" s="27" t="s">
        <v>138</v>
      </c>
      <c r="D91" s="54" t="s">
        <v>7</v>
      </c>
      <c r="E91" s="33"/>
      <c r="F91" s="33"/>
      <c r="G91" s="34"/>
      <c r="H91" s="35"/>
      <c r="I91" s="90"/>
      <c r="J91" s="96">
        <v>3283.84</v>
      </c>
    </row>
    <row r="92" spans="2:10" ht="21" customHeight="1">
      <c r="B92" s="53" t="s">
        <v>143</v>
      </c>
      <c r="C92" s="27" t="s">
        <v>139</v>
      </c>
      <c r="D92" s="54" t="s">
        <v>7</v>
      </c>
      <c r="E92" s="33"/>
      <c r="F92" s="33"/>
      <c r="G92" s="34"/>
      <c r="H92" s="35"/>
      <c r="I92" s="90"/>
      <c r="J92" s="96">
        <v>5704.42808</v>
      </c>
    </row>
    <row r="93" spans="2:10" ht="22.5" customHeight="1">
      <c r="B93" s="93" t="s">
        <v>89</v>
      </c>
      <c r="C93" s="97" t="s">
        <v>122</v>
      </c>
      <c r="D93" s="78" t="s">
        <v>7</v>
      </c>
      <c r="E93" s="30">
        <v>0</v>
      </c>
      <c r="F93" s="30">
        <v>0</v>
      </c>
      <c r="G93" s="31">
        <v>0</v>
      </c>
      <c r="H93" s="32">
        <v>-32</v>
      </c>
      <c r="I93" s="31">
        <v>0</v>
      </c>
      <c r="J93" s="95">
        <f>J94+J95+J96+J97</f>
        <v>-171629.4</v>
      </c>
    </row>
    <row r="94" spans="2:10" ht="24.75" customHeight="1">
      <c r="B94" s="53" t="s">
        <v>123</v>
      </c>
      <c r="C94" s="27" t="s">
        <v>144</v>
      </c>
      <c r="D94" s="54" t="s">
        <v>7</v>
      </c>
      <c r="E94" s="33"/>
      <c r="F94" s="33"/>
      <c r="G94" s="34"/>
      <c r="H94" s="35"/>
      <c r="I94" s="34"/>
      <c r="J94" s="98">
        <v>-20370.55</v>
      </c>
    </row>
    <row r="95" spans="2:10" ht="27.75" customHeight="1">
      <c r="B95" s="53" t="s">
        <v>124</v>
      </c>
      <c r="C95" s="27" t="s">
        <v>121</v>
      </c>
      <c r="D95" s="54" t="s">
        <v>7</v>
      </c>
      <c r="E95" s="33"/>
      <c r="F95" s="33"/>
      <c r="G95" s="34"/>
      <c r="H95" s="35"/>
      <c r="I95" s="34"/>
      <c r="J95" s="98">
        <v>8049.54</v>
      </c>
    </row>
    <row r="96" spans="2:10" ht="51" customHeight="1">
      <c r="B96" s="53" t="s">
        <v>125</v>
      </c>
      <c r="C96" s="27" t="s">
        <v>132</v>
      </c>
      <c r="D96" s="54" t="s">
        <v>7</v>
      </c>
      <c r="E96" s="33"/>
      <c r="F96" s="33"/>
      <c r="G96" s="34"/>
      <c r="H96" s="35"/>
      <c r="I96" s="34"/>
      <c r="J96" s="98">
        <v>1015.17</v>
      </c>
    </row>
    <row r="97" spans="2:10" ht="38.25" customHeight="1">
      <c r="B97" s="53" t="s">
        <v>131</v>
      </c>
      <c r="C97" s="27" t="s">
        <v>133</v>
      </c>
      <c r="D97" s="54" t="s">
        <v>7</v>
      </c>
      <c r="E97" s="33"/>
      <c r="F97" s="33"/>
      <c r="G97" s="34"/>
      <c r="H97" s="35"/>
      <c r="I97" s="34"/>
      <c r="J97" s="98">
        <v>-160323.56</v>
      </c>
    </row>
    <row r="98" spans="2:10" ht="77.25" customHeight="1">
      <c r="B98" s="93" t="s">
        <v>92</v>
      </c>
      <c r="C98" s="97" t="s">
        <v>148</v>
      </c>
      <c r="D98" s="78" t="s">
        <v>7</v>
      </c>
      <c r="E98" s="30"/>
      <c r="F98" s="30"/>
      <c r="G98" s="31"/>
      <c r="H98" s="32"/>
      <c r="I98" s="31"/>
      <c r="J98" s="105">
        <v>-4211.1</v>
      </c>
    </row>
    <row r="99" spans="2:10" ht="20.25" customHeight="1">
      <c r="B99" s="53"/>
      <c r="C99" s="97" t="s">
        <v>134</v>
      </c>
      <c r="D99" s="78" t="s">
        <v>7</v>
      </c>
      <c r="E99" s="99"/>
      <c r="F99" s="99"/>
      <c r="G99" s="100"/>
      <c r="H99" s="101"/>
      <c r="I99" s="100"/>
      <c r="J99" s="102">
        <f>J83+J93+J98</f>
        <v>-143850.72440308554</v>
      </c>
    </row>
    <row r="100" spans="2:10" s="11" customFormat="1" ht="15" customHeight="1">
      <c r="B100" s="72"/>
      <c r="C100" s="19"/>
      <c r="D100" s="20"/>
      <c r="E100" s="20"/>
      <c r="F100" s="15"/>
      <c r="G100" s="15"/>
      <c r="H100" s="15"/>
      <c r="I100" s="15"/>
      <c r="J100" s="15"/>
    </row>
    <row r="101" spans="2:10" ht="36" customHeight="1">
      <c r="B101" s="53"/>
      <c r="C101" s="103" t="s">
        <v>98</v>
      </c>
      <c r="D101" s="78" t="s">
        <v>7</v>
      </c>
      <c r="E101" s="89" t="e">
        <f>#REF!+#REF!</f>
        <v>#REF!</v>
      </c>
      <c r="F101" s="89" t="e">
        <f>#REF!+#REF!</f>
        <v>#REF!</v>
      </c>
      <c r="G101" s="104" t="e">
        <f>#REF!+#REF!</f>
        <v>#REF!</v>
      </c>
      <c r="H101" s="104" t="e">
        <f>#REF!+#REF!</f>
        <v>#REF!</v>
      </c>
      <c r="I101" s="89" t="e">
        <f>#REF!+#REF!</f>
        <v>#REF!</v>
      </c>
      <c r="J101" s="104">
        <f>J54+J77+J99</f>
        <v>224777.7038437588</v>
      </c>
    </row>
    <row r="102" spans="2:7" s="11" customFormat="1" ht="13.5" customHeight="1">
      <c r="B102" s="8"/>
      <c r="C102" s="9"/>
      <c r="D102" s="10"/>
      <c r="E102" s="10"/>
      <c r="F102" s="7"/>
      <c r="G102" s="7"/>
    </row>
    <row r="103" spans="2:8" ht="12.75">
      <c r="B103" s="11"/>
      <c r="C103" s="11"/>
      <c r="D103" s="12"/>
      <c r="E103" s="12"/>
      <c r="F103" s="13"/>
      <c r="G103" s="13"/>
      <c r="H103" s="13"/>
    </row>
    <row r="109" spans="6:10" ht="12.75">
      <c r="F109" s="3">
        <f>8609.01-8368.38</f>
        <v>240.63000000000102</v>
      </c>
      <c r="H109" s="14" t="e">
        <f>8609.01-H101</f>
        <v>#REF!</v>
      </c>
      <c r="J109" s="14"/>
    </row>
    <row r="110" ht="12.75">
      <c r="H110" s="14" t="e">
        <f>H109-F109</f>
        <v>#REF!</v>
      </c>
    </row>
    <row r="111" ht="12.75">
      <c r="C111" s="36"/>
    </row>
  </sheetData>
  <sheetProtection/>
  <mergeCells count="11">
    <mergeCell ref="J8:J10"/>
    <mergeCell ref="C1:J4"/>
    <mergeCell ref="B56:J56"/>
    <mergeCell ref="B79:J79"/>
    <mergeCell ref="B6:J6"/>
    <mergeCell ref="G8:H9"/>
    <mergeCell ref="B38:J38"/>
    <mergeCell ref="B8:B10"/>
    <mergeCell ref="C8:C10"/>
    <mergeCell ref="D8:D10"/>
    <mergeCell ref="E8:F9"/>
  </mergeCells>
  <printOptions/>
  <pageMargins left="0.73" right="0.17" top="0.17" bottom="0.17" header="0.17" footer="0.17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odanilova</dc:creator>
  <cp:keywords/>
  <dc:description/>
  <cp:lastModifiedBy>Базанова</cp:lastModifiedBy>
  <cp:lastPrinted>2018-06-28T13:47:43Z</cp:lastPrinted>
  <dcterms:created xsi:type="dcterms:W3CDTF">2014-09-18T07:44:10Z</dcterms:created>
  <dcterms:modified xsi:type="dcterms:W3CDTF">2018-06-28T13:47:56Z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